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5. May 2025\22.05.2025\SPI Email 22.05.2025\"/>
    </mc:Choice>
  </mc:AlternateContent>
  <xr:revisionPtr revIDLastSave="0" documentId="13_ncr:1_{15DA0A12-F516-42E1-95A1-D1EAEA2A25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6" i="2"/>
  <c r="L36" i="2"/>
  <c r="K36" i="2"/>
  <c r="J36" i="2"/>
  <c r="M20" i="2"/>
  <c r="M64" i="2" s="1"/>
  <c r="L20" i="2"/>
  <c r="L64" i="2" s="1"/>
  <c r="K20" i="2"/>
  <c r="K64" i="2" s="1"/>
  <c r="J20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3" i="3"/>
  <c r="D73" i="3" s="1"/>
  <c r="B83" i="3"/>
  <c r="D83" i="3" s="1"/>
  <c r="B72" i="3"/>
  <c r="D72" i="3" s="1"/>
  <c r="B71" i="3"/>
  <c r="C71" i="3" s="1"/>
  <c r="C73" i="3" l="1"/>
  <c r="C83" i="3"/>
  <c r="D71" i="3"/>
  <c r="C72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<sst xmlns="http://schemas.openxmlformats.org/spreadsheetml/2006/main" count="254" uniqueCount="156">
  <si>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</si>
  <si>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</si>
  <si>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</si>
  <si>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</si>
  <si>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</si>
  <si>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</si>
  <si>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</si>
  <si>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</si>
  <si>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</si>
  <si>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</si>
  <si>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</si>
  <si>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</si>
  <si>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</si>
  <si>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</si>
  <si>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</si>
  <si>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</si>
  <si>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</si>
  <si>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</si>
  <si>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</si>
  <si>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</si>
  <si>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</si>
  <si>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</si>
  <si>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</si>
  <si>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</si>
  <si>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</si>
  <si>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</si>
  <si>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</si>
  <si>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</si>
  <si>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</si>
  <si>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</si>
  <si>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</si>
  <si>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</si>
  <si>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</si>
  <si>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</si>
  <si>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</si>
  <si>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</si>
  <si>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</si>
  <si>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</si>
  <si>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</si>
  <si>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</si>
  <si>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</si>
  <si>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</si>
  <si>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</si>
  <si>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</si>
  <si>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</si>
  <si>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</si>
  <si>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</si>
  <si>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</si>
  <si>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</si>
  <si>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</si>
  <si>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</si>
  <si>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</si>
  <si>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</si>
  <si>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</si>
  <si>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</si>
  <si>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</si>
  <si>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</si>
  <si>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</si>
  <si>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</si>
  <si>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</si>
  <si>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</si>
  <si>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</si>
  <si>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</si>
  <si>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</si>
  <si>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</si>
  <si>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</si>
  <si>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</si>
  <si>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</si>
  <si>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</si>
  <si>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</si>
  <si>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</si>
  <si>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</si>
  <si>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</si>
  <si>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</si>
  <si>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</si>
  <si>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</si>
  <si>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</si>
  <si>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</si>
  <si>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</si>
  <si>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</si>
  <si>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</si>
  <si>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</si>
  <si>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</si>
  <si>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</si>
  <si>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</si>
  <si>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</si>
  <si>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</si>
  <si>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</si>
  <si>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</si>
  <si>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</si>
  <si>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</si>
  <si>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</si>
  <si>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</si>
  <si>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</si>
  <si>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</si>
  <si>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</si>
  <si>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</si>
  <si>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</si>
  <si>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</si>
  <si>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</si>
  <si>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</si>
  <si>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</si>
  <si>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</si>
  <si>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</si>
  <si>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</si>
  <si>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</si>
  <si>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</si>
  <si>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</si>
  <si>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</si>
  <si>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</si>
  <si>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</si>
  <si>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</si>
  <si>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</si>
  <si>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</si>
  <si>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</si>
  <si>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</si>
  <si>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</si>
  <si>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</si>
  <si>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</si>
  <si>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</si>
  <si>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</si>
  <si>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</si>
  <si>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</si>
  <si>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</si>
  <si>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</si>
  <si>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</si>
  <si>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</si>
  <si>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</si>
  <si>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</si>
  <si>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</si>
  <si>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</si>
  <si>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</si>
  <si>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20-03-2025</t>
  </si>
  <si>
    <t>27-03-2025</t>
  </si>
  <si>
    <t>03-04-2025</t>
  </si>
  <si>
    <t>10-04-2025</t>
  </si>
  <si>
    <t>17-04-2025</t>
  </si>
  <si>
    <t>24-04-2025</t>
  </si>
  <si>
    <t>30-04-2025</t>
  </si>
  <si>
    <t>08-05-2025</t>
  </si>
  <si>
    <t>15-05-2025</t>
  </si>
  <si>
    <t>Dated: 22.05.2025</t>
  </si>
  <si>
    <t>Subject:   Sensitive Price Indicator (SPI) for the week ended on 22-05-2025.</t>
  </si>
  <si>
    <t>For the week ended on May 22, 2025, the SPI and percentage changes by</t>
  </si>
  <si>
    <t>SPI for week ended on
22-05-2025     15-05-25     23-05-24</t>
  </si>
  <si>
    <t>% change over
15-05-25     23-05-24</t>
  </si>
  <si>
    <t>22-05-2025</t>
  </si>
  <si>
    <t>The comparative changes in prices i.e. increase, decrease and unchanged for the week ended on 22-05-2025 over</t>
  </si>
  <si>
    <t>previous and corresponding weeks ended on 15-05-2025 and 23-05-2024 repectively are as follows:</t>
  </si>
  <si>
    <t>Prices in Rs.
on
22.05.25 15.05.25 23.05.24</t>
  </si>
  <si>
    <t>%change                col. 3 over                  15.05.25 23.05.24</t>
  </si>
  <si>
    <t>i.    Average prices of the following 13 items registered INCREASE.</t>
  </si>
  <si>
    <t>ii.    Average prices of the following 14 items registered DECREASE.</t>
  </si>
  <si>
    <t>iii.    Average prices of the following 24 items remained UNCHANGED</t>
  </si>
  <si>
    <t xml:space="preserve">Gas Charges upto 3.3719 MMBTU                                  </t>
  </si>
  <si>
    <t>U.O.NO.PBS.PS.SPI-1516(01)/2019-1321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</si>
</sst>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2" fontId="2" fillId="0" borderId="0" xfId="0" applyNumberFormat="1" applyFont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35" zoomScaleNormal="100" zoomScaleSheetLayoutView="100" workbookViewId="0">
      <selection activeCell="F42" sqref="F42"/>
    </sheetView>
  </sheetViews>
  <sheetFormatPr defaultRowHeight="14.4" x14ac:dyDescent="0.3"/>
  <cols>
    <col min="1" max="1" width="6.6640625" customWidth="1"/>
    <col min="2" max="2" width="14.44140625" customWidth="1"/>
    <col min="3" max="3" width="14.33203125" customWidth="1"/>
    <col min="4" max="4" width="11.109375" customWidth="1"/>
    <col min="5" max="8" width="10.33203125" customWidth="1"/>
    <col min="9" max="9" width="6.6640625" customWidth="1"/>
    <col min="13" max="13" width="9.33203125" bestFit="1" customWidth="1"/>
    <col min="14" max="14" width="10" bestFit="1" customWidth="1"/>
    <col min="15" max="18" width="9.33203125" bestFit="1" customWidth="1"/>
  </cols>
  <sheetData>
    <row r="1" spans="1:25" ht="12" customHeight="1" x14ac:dyDescent="0.3">
      <c r="A1" s="64" t="s">
        <v>116</v>
      </c>
      <c r="B1" s="65"/>
      <c r="C1" s="65"/>
      <c r="D1" s="65"/>
      <c r="E1" s="65"/>
      <c r="F1" s="65"/>
      <c r="G1" s="65"/>
      <c r="H1" s="65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15" hidden="1" customHeight="1" x14ac:dyDescent="0.3">
      <c r="A2" s="57"/>
      <c r="B2" s="57"/>
      <c r="C2" s="57"/>
      <c r="D2" s="57"/>
      <c r="E2" s="57"/>
      <c r="F2" s="57"/>
      <c r="G2" s="57"/>
      <c r="H2" s="57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.6" x14ac:dyDescent="0.3">
      <c r="A3" s="66" t="s">
        <v>0</v>
      </c>
      <c r="B3" s="67"/>
      <c r="C3" s="67"/>
      <c r="D3" s="67"/>
      <c r="E3" s="67"/>
      <c r="F3" s="67"/>
      <c r="G3" s="67"/>
      <c r="H3" s="6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" hidden="1" customHeight="1" x14ac:dyDescent="0.3">
      <c r="A4" s="58"/>
      <c r="B4" s="57"/>
      <c r="C4" s="57"/>
      <c r="D4" s="57"/>
      <c r="E4" s="57"/>
      <c r="F4" s="57"/>
      <c r="G4" s="57"/>
      <c r="H4" s="57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68"/>
      <c r="B5" s="67"/>
      <c r="C5" s="67"/>
      <c r="D5" s="67"/>
      <c r="E5" s="67"/>
      <c r="F5" s="67"/>
      <c r="G5" s="67"/>
      <c r="H5" s="67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" hidden="1" customHeight="1" x14ac:dyDescent="0.3">
      <c r="A6" s="58"/>
      <c r="B6" s="57"/>
      <c r="C6" s="57"/>
      <c r="D6" s="57"/>
      <c r="E6" s="57"/>
      <c r="F6" s="57"/>
      <c r="G6" s="57"/>
      <c r="H6" s="57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7.399999999999999" x14ac:dyDescent="0.3">
      <c r="A7" s="69" t="s">
        <v>1</v>
      </c>
      <c r="B7" s="70"/>
      <c r="C7" s="70"/>
      <c r="D7" s="70"/>
      <c r="E7" s="70"/>
      <c r="F7" s="70"/>
      <c r="G7" s="70"/>
      <c r="H7" s="70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30" customHeight="1" x14ac:dyDescent="0.3">
      <c r="A8" s="44"/>
      <c r="B8" s="44"/>
      <c r="C8" s="44"/>
      <c r="D8" s="44"/>
      <c r="E8" s="44"/>
      <c r="F8" s="44"/>
      <c r="G8" s="44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44" t="s">
        <v>142</v>
      </c>
      <c r="B9" s="44"/>
      <c r="C9" s="44"/>
      <c r="D9" s="44"/>
      <c r="E9" s="44"/>
      <c r="F9" s="44"/>
      <c r="G9" s="44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4"/>
      <c r="B10" s="44"/>
      <c r="C10" s="44"/>
      <c r="D10" s="44"/>
      <c r="E10" s="44"/>
      <c r="F10" s="44"/>
      <c r="G10" s="44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" hidden="1" customHeight="1" x14ac:dyDescent="0.3">
      <c r="A11" s="44"/>
      <c r="B11" s="44"/>
      <c r="C11" s="44"/>
      <c r="D11" s="44"/>
      <c r="E11" s="44"/>
      <c r="F11" s="44"/>
      <c r="G11" s="44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4"/>
      <c r="B12" s="44" t="s">
        <v>2</v>
      </c>
      <c r="C12" s="44"/>
      <c r="D12" s="44"/>
      <c r="E12" s="44"/>
      <c r="F12" s="44"/>
      <c r="G12" s="44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4" t="s">
        <v>3</v>
      </c>
      <c r="B13" s="44"/>
      <c r="C13" s="44"/>
      <c r="D13" s="44"/>
      <c r="E13" s="44"/>
      <c r="F13" s="44"/>
      <c r="G13" s="44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" hidden="1" customHeight="1" x14ac:dyDescent="0.3">
      <c r="A15" s="44"/>
      <c r="B15" s="44"/>
      <c r="C15" s="44"/>
      <c r="D15" s="44"/>
      <c r="E15" s="44"/>
      <c r="F15" s="44"/>
      <c r="G15" s="44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5" t="s">
        <v>4</v>
      </c>
      <c r="B16" s="44" t="s">
        <v>143</v>
      </c>
      <c r="C16" s="44"/>
      <c r="D16" s="44"/>
      <c r="E16" s="44"/>
      <c r="F16" s="44"/>
      <c r="G16" s="44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5" t="s">
        <v>5</v>
      </c>
      <c r="B17" s="44"/>
      <c r="C17" s="44"/>
      <c r="D17" s="44"/>
      <c r="E17" s="44"/>
      <c r="F17" s="44"/>
      <c r="G17" s="44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0.199999999999999" customHeight="1" x14ac:dyDescent="0.3">
      <c r="A18" s="45"/>
      <c r="B18" s="44"/>
      <c r="C18" s="44"/>
      <c r="D18" s="44"/>
      <c r="E18" s="44"/>
      <c r="F18" s="44"/>
      <c r="G18" s="44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5"/>
      <c r="B19" s="71" t="s">
        <v>6</v>
      </c>
      <c r="C19" s="71"/>
      <c r="D19" s="71"/>
      <c r="E19" s="71"/>
      <c r="F19" s="71"/>
      <c r="G19" s="71"/>
      <c r="H19" s="71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30" customHeight="1" x14ac:dyDescent="0.3">
      <c r="A20" s="45"/>
      <c r="B20" s="63" t="s">
        <v>117</v>
      </c>
      <c r="C20" s="63"/>
      <c r="D20" s="63" t="s">
        <v>144</v>
      </c>
      <c r="E20" s="63"/>
      <c r="F20" s="63"/>
      <c r="G20" s="63" t="s">
        <v>145</v>
      </c>
      <c r="H20" s="6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26.25" customHeight="1" x14ac:dyDescent="0.3">
      <c r="A21" s="46"/>
      <c r="B21" s="73" t="s">
        <v>7</v>
      </c>
      <c r="C21" s="73"/>
      <c r="D21" s="47">
        <v>300.18</v>
      </c>
      <c r="E21" s="47">
        <v>300.97000000000003</v>
      </c>
      <c r="F21" s="47">
        <v>298.56</v>
      </c>
      <c r="G21" s="47">
        <f t="shared" ref="G21:G26" si="0">D21/E21*100-100</f>
        <v>-0.2624846330199091</v>
      </c>
      <c r="H21" s="47">
        <f t="shared" ref="H21:H26" si="1">D21/F21*100-100</f>
        <v>0.54260450160772677</v>
      </c>
      <c r="I21" s="43"/>
      <c r="J21" s="43"/>
      <c r="K21" s="43"/>
      <c r="L21" s="43"/>
      <c r="M21" s="48"/>
      <c r="N21" s="48"/>
      <c r="O21" s="48"/>
      <c r="P21" s="48"/>
      <c r="Q21" s="48"/>
      <c r="R21" s="48"/>
      <c r="S21" s="43"/>
      <c r="T21" s="43"/>
      <c r="U21" s="43"/>
      <c r="V21" s="43"/>
      <c r="W21" s="43"/>
      <c r="X21" s="43"/>
      <c r="Y21" s="43"/>
    </row>
    <row r="22" spans="1:25" ht="26.25" customHeight="1" x14ac:dyDescent="0.3">
      <c r="A22" s="46"/>
      <c r="B22" s="73" t="s">
        <v>8</v>
      </c>
      <c r="C22" s="73"/>
      <c r="D22" s="47">
        <v>297.38</v>
      </c>
      <c r="E22" s="47">
        <v>298.2</v>
      </c>
      <c r="F22" s="47">
        <v>297.27999999999997</v>
      </c>
      <c r="G22" s="47">
        <f t="shared" si="0"/>
        <v>-0.27498323272970993</v>
      </c>
      <c r="H22" s="47">
        <f t="shared" si="1"/>
        <v>3.3638320775025932E-2</v>
      </c>
      <c r="I22" s="43"/>
      <c r="J22" s="43"/>
      <c r="K22" s="43"/>
      <c r="L22" s="43"/>
      <c r="M22" s="48"/>
      <c r="N22" s="48"/>
      <c r="O22" s="48"/>
      <c r="P22" s="48"/>
      <c r="Q22" s="48"/>
      <c r="R22" s="48"/>
      <c r="S22" s="43"/>
      <c r="T22" s="43"/>
      <c r="U22" s="43"/>
      <c r="V22" s="43"/>
      <c r="W22" s="43"/>
      <c r="X22" s="43"/>
      <c r="Y22" s="43"/>
    </row>
    <row r="23" spans="1:25" ht="26.25" customHeight="1" x14ac:dyDescent="0.3">
      <c r="A23" s="46"/>
      <c r="B23" s="73" t="s">
        <v>9</v>
      </c>
      <c r="C23" s="73"/>
      <c r="D23" s="47">
        <v>321.74</v>
      </c>
      <c r="E23" s="47">
        <v>322.58999999999997</v>
      </c>
      <c r="F23" s="47">
        <v>318.3</v>
      </c>
      <c r="G23" s="47">
        <f t="shared" si="0"/>
        <v>-0.26349235872157806</v>
      </c>
      <c r="H23" s="47">
        <f t="shared" si="1"/>
        <v>1.0807414388941226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6.25" customHeight="1" x14ac:dyDescent="0.3">
      <c r="A24" s="46"/>
      <c r="B24" s="73" t="s">
        <v>10</v>
      </c>
      <c r="C24" s="73"/>
      <c r="D24" s="47">
        <v>312.63</v>
      </c>
      <c r="E24" s="47">
        <v>313.51</v>
      </c>
      <c r="F24" s="47">
        <v>306.74</v>
      </c>
      <c r="G24" s="47">
        <f t="shared" si="0"/>
        <v>-0.28069280086759818</v>
      </c>
      <c r="H24" s="47">
        <f t="shared" si="1"/>
        <v>1.9201929973267369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6.25" customHeight="1" x14ac:dyDescent="0.3">
      <c r="A25" s="46"/>
      <c r="B25" s="73" t="s">
        <v>11</v>
      </c>
      <c r="C25" s="73"/>
      <c r="D25" s="47">
        <v>315.35000000000002</v>
      </c>
      <c r="E25" s="47">
        <v>316.3</v>
      </c>
      <c r="F25" s="47">
        <v>308.12</v>
      </c>
      <c r="G25" s="47">
        <f t="shared" si="0"/>
        <v>-0.30034777110337529</v>
      </c>
      <c r="H25" s="47">
        <f t="shared" si="1"/>
        <v>2.3464883811502091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26.25" customHeight="1" x14ac:dyDescent="0.3">
      <c r="A26" s="46"/>
      <c r="B26" s="73" t="s">
        <v>12</v>
      </c>
      <c r="C26" s="73"/>
      <c r="D26" s="47">
        <v>312.33999999999997</v>
      </c>
      <c r="E26" s="47">
        <v>313.24</v>
      </c>
      <c r="F26" s="47">
        <v>308.19</v>
      </c>
      <c r="G26" s="47">
        <f t="shared" si="0"/>
        <v>-0.28731962712298298</v>
      </c>
      <c r="H26" s="47">
        <f t="shared" si="1"/>
        <v>1.3465719199195121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6"/>
      <c r="B27" s="49"/>
      <c r="C27" s="49"/>
      <c r="D27" s="49"/>
      <c r="E27" s="49"/>
      <c r="F27" s="49"/>
      <c r="G27" s="49"/>
      <c r="H27" s="4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" hidden="1" customHeight="1" x14ac:dyDescent="0.3">
      <c r="A28" s="46"/>
      <c r="B28" s="49"/>
      <c r="C28" s="49"/>
      <c r="D28" s="49"/>
      <c r="E28" s="49"/>
      <c r="F28" s="49"/>
      <c r="G28" s="49"/>
      <c r="H28" s="49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5" t="s">
        <v>13</v>
      </c>
      <c r="B29" s="44" t="s">
        <v>14</v>
      </c>
      <c r="C29" s="44"/>
      <c r="D29" s="44"/>
      <c r="E29" s="44"/>
      <c r="F29" s="44"/>
      <c r="G29" s="44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5" t="s">
        <v>15</v>
      </c>
      <c r="B30" s="44"/>
      <c r="C30" s="44"/>
      <c r="D30" s="44"/>
      <c r="E30" s="44"/>
      <c r="F30" s="44"/>
      <c r="G30" s="44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0.199999999999999" customHeight="1" x14ac:dyDescent="0.3">
      <c r="A31" s="45"/>
      <c r="B31" s="44"/>
      <c r="C31" s="44"/>
      <c r="D31" s="44"/>
      <c r="E31" s="44"/>
      <c r="F31" s="44"/>
      <c r="G31" s="44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5"/>
      <c r="B32" s="71" t="s">
        <v>6</v>
      </c>
      <c r="C32" s="71"/>
      <c r="D32" s="71"/>
      <c r="E32" s="71"/>
      <c r="F32" s="71"/>
      <c r="G32" s="71"/>
      <c r="H32" s="7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9" customHeight="1" x14ac:dyDescent="0.3">
      <c r="A33" s="45"/>
      <c r="B33" s="59" t="s">
        <v>16</v>
      </c>
      <c r="C33" s="59" t="s">
        <v>118</v>
      </c>
      <c r="D33" s="72" t="s">
        <v>17</v>
      </c>
      <c r="E33" s="72"/>
      <c r="F33" s="59" t="s">
        <v>18</v>
      </c>
      <c r="G33" s="72" t="s">
        <v>17</v>
      </c>
      <c r="H33" s="7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6.25" customHeight="1" x14ac:dyDescent="0.3">
      <c r="A34" s="46"/>
      <c r="B34" s="50" t="s">
        <v>132</v>
      </c>
      <c r="C34" s="47">
        <v>308.43</v>
      </c>
      <c r="D34" s="47">
        <f>C34/309.65*100-100</f>
        <v>-0.39399321814951804</v>
      </c>
      <c r="E34" s="47">
        <f>C34/314.2*100-100</f>
        <v>-1.8364099299809027</v>
      </c>
      <c r="F34" s="47">
        <v>319.62</v>
      </c>
      <c r="G34" s="47">
        <f>F34/320.75*100-100</f>
        <v>-0.35229929851909958</v>
      </c>
      <c r="H34" s="47">
        <f>F34/323.5*100-100</f>
        <v>-1.1993817619783584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26.25" customHeight="1" x14ac:dyDescent="0.3">
      <c r="A35" s="46"/>
      <c r="B35" s="50" t="s">
        <v>133</v>
      </c>
      <c r="C35" s="47">
        <v>307.79000000000002</v>
      </c>
      <c r="D35" s="47">
        <f>C35/308.43*100-100</f>
        <v>-0.20750251272573905</v>
      </c>
      <c r="E35" s="47">
        <f>C35/313.35*100-100</f>
        <v>-1.7743737035264076</v>
      </c>
      <c r="F35" s="47">
        <v>319.14</v>
      </c>
      <c r="G35" s="47">
        <f>F35/319.62*100-100</f>
        <v>-0.15017833677492831</v>
      </c>
      <c r="H35" s="47">
        <f>F35/323.2*100-100</f>
        <v>-1.2561881188118917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26.25" customHeight="1" x14ac:dyDescent="0.3">
      <c r="A36" s="46"/>
      <c r="B36" s="50" t="s">
        <v>134</v>
      </c>
      <c r="C36" s="47">
        <v>308.66000000000003</v>
      </c>
      <c r="D36" s="47">
        <f>C36/307.79*100-100</f>
        <v>0.28266025536890993</v>
      </c>
      <c r="E36" s="47">
        <f>C36/315.95*100-100</f>
        <v>-2.3073271087197327</v>
      </c>
      <c r="F36" s="47">
        <v>319.79000000000002</v>
      </c>
      <c r="G36" s="47">
        <f>F36/319.14*100-100</f>
        <v>0.20367236949300604</v>
      </c>
      <c r="H36" s="47">
        <f>F36/326.29*100-100</f>
        <v>-1.9920929234729812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26.25" customHeight="1" x14ac:dyDescent="0.3">
      <c r="A37" s="46"/>
      <c r="B37" s="50" t="s">
        <v>135</v>
      </c>
      <c r="C37" s="47">
        <v>305.64999999999998</v>
      </c>
      <c r="D37" s="47">
        <f>C37/308.66*100-100</f>
        <v>-0.97518304930993338</v>
      </c>
      <c r="E37" s="47">
        <f>C37/315.95*100-100</f>
        <v>-3.2600094951732927</v>
      </c>
      <c r="F37" s="47">
        <v>317.12</v>
      </c>
      <c r="G37" s="47">
        <f>F37/319.79*100-100</f>
        <v>-0.8349229181650486</v>
      </c>
      <c r="H37" s="47">
        <f>F37/326.29*100-100</f>
        <v>-2.8103834012688083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6.25" customHeight="1" x14ac:dyDescent="0.3">
      <c r="A38" s="46"/>
      <c r="B38" s="50" t="s">
        <v>136</v>
      </c>
      <c r="C38" s="47">
        <v>303.2</v>
      </c>
      <c r="D38" s="47">
        <f>C38/305.65*100-100</f>
        <v>-0.80157042368722387</v>
      </c>
      <c r="E38" s="47">
        <f>C38/313.72*100-100</f>
        <v>-3.353308682901968</v>
      </c>
      <c r="F38" s="47">
        <v>314.92</v>
      </c>
      <c r="G38" s="47">
        <f>F38/317.12*100-100</f>
        <v>-0.69374369323914209</v>
      </c>
      <c r="H38" s="47">
        <f>F38/323.71*100-100</f>
        <v>-2.7153934076796986</v>
      </c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6.25" customHeight="1" x14ac:dyDescent="0.3">
      <c r="A39" s="46"/>
      <c r="B39" s="50" t="s">
        <v>137</v>
      </c>
      <c r="C39" s="47">
        <v>297.70999999999998</v>
      </c>
      <c r="D39" s="47">
        <f>C39/303.2*100-100</f>
        <v>-1.8106860158311378</v>
      </c>
      <c r="E39" s="47">
        <f>C39/309.64*100-100</f>
        <v>-3.8528613874176472</v>
      </c>
      <c r="F39" s="47">
        <v>308.86</v>
      </c>
      <c r="G39" s="47">
        <f>F39/314.92*100-100</f>
        <v>-1.9242982344722463</v>
      </c>
      <c r="H39" s="47">
        <f>F39/320.14*100-100</f>
        <v>-3.523458486911963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26.25" customHeight="1" x14ac:dyDescent="0.3">
      <c r="A40" s="46"/>
      <c r="B40" s="50" t="s">
        <v>138</v>
      </c>
      <c r="C40" s="47">
        <v>297.93</v>
      </c>
      <c r="D40" s="47">
        <f>C40/297.71*100-100</f>
        <v>7.3897416949392891E-2</v>
      </c>
      <c r="E40" s="47">
        <f>C40/306.26*100-100</f>
        <v>-2.7199111865734977</v>
      </c>
      <c r="F40" s="47">
        <v>309.31</v>
      </c>
      <c r="G40" s="47">
        <f>F40/308.86*100-100</f>
        <v>0.1456970795829875</v>
      </c>
      <c r="H40" s="47">
        <f>F40/316.95*100-100</f>
        <v>-2.4104748383025623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26.25" customHeight="1" x14ac:dyDescent="0.3">
      <c r="A41" s="46"/>
      <c r="B41" s="50" t="s">
        <v>139</v>
      </c>
      <c r="C41" s="47">
        <v>298.24</v>
      </c>
      <c r="D41" s="47">
        <f>C41/297.93*100-100</f>
        <v>0.10405128721511403</v>
      </c>
      <c r="E41" s="47">
        <f>C41/303.24*100-100</f>
        <v>-1.6488589895792103</v>
      </c>
      <c r="F41" s="47">
        <v>310.05</v>
      </c>
      <c r="G41" s="47">
        <f>F41/309.31*100-100</f>
        <v>0.23924218421649357</v>
      </c>
      <c r="H41" s="47">
        <f>F41/312.56*100-100</f>
        <v>-0.8030458152034754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26.25" customHeight="1" x14ac:dyDescent="0.3">
      <c r="A42" s="46"/>
      <c r="B42" s="50" t="s">
        <v>140</v>
      </c>
      <c r="C42" s="47">
        <v>300.97000000000003</v>
      </c>
      <c r="D42" s="47">
        <f>C42/298.24*100-100</f>
        <v>0.91537017167382828</v>
      </c>
      <c r="E42" s="47">
        <f>C42/299.7*100-100</f>
        <v>0.42375709042377707</v>
      </c>
      <c r="F42" s="47">
        <v>313.24</v>
      </c>
      <c r="G42" s="47">
        <f>F42/310.05*100-100</f>
        <v>1.0288663118851673</v>
      </c>
      <c r="H42" s="47">
        <f>F42/309.25*100-100</f>
        <v>1.2902182700080829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26.25" customHeight="1" x14ac:dyDescent="0.3">
      <c r="A43" s="46"/>
      <c r="B43" s="50" t="s">
        <v>146</v>
      </c>
      <c r="C43" s="47">
        <v>300.18</v>
      </c>
      <c r="D43" s="47">
        <f>C43/300.97*100-100</f>
        <v>-0.2624846330199091</v>
      </c>
      <c r="E43" s="47">
        <f>C43/298.56*100-100</f>
        <v>0.54260450160772677</v>
      </c>
      <c r="F43" s="47">
        <v>312.33999999999997</v>
      </c>
      <c r="G43" s="47">
        <f>F43/313.24*100-100</f>
        <v>-0.28731962712298298</v>
      </c>
      <c r="H43" s="47">
        <f>F43/308.19*100-100</f>
        <v>1.3465719199195121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6"/>
      <c r="B44" s="49"/>
      <c r="C44" s="49"/>
      <c r="D44" s="49"/>
      <c r="E44" s="49"/>
      <c r="F44" s="49"/>
      <c r="G44" s="49"/>
      <c r="H44" s="49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" hidden="1" customHeight="1" x14ac:dyDescent="0.3">
      <c r="A45" s="46"/>
      <c r="B45" s="49"/>
      <c r="C45" s="49"/>
      <c r="D45" s="49"/>
      <c r="E45" s="49"/>
      <c r="F45" s="49"/>
      <c r="G45" s="49"/>
      <c r="H45" s="49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5" t="s">
        <v>19</v>
      </c>
      <c r="B46" s="44" t="s">
        <v>20</v>
      </c>
      <c r="C46" s="44"/>
      <c r="D46" s="44"/>
      <c r="E46" s="44"/>
      <c r="F46" s="44"/>
      <c r="G46" s="44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4" t="s">
        <v>21</v>
      </c>
      <c r="B47" s="44"/>
      <c r="C47" s="44"/>
      <c r="D47" s="44"/>
      <c r="E47" s="44"/>
      <c r="F47" s="44"/>
      <c r="G47" s="44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x14ac:dyDescent="0.3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x14ac:dyDescent="0.3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x14ac:dyDescent="0.3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x14ac:dyDescent="0.3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x14ac:dyDescent="0.3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x14ac:dyDescent="0.3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x14ac:dyDescent="0.3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x14ac:dyDescent="0.3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x14ac:dyDescent="0.3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x14ac:dyDescent="0.3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x14ac:dyDescent="0.3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x14ac:dyDescent="0.3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x14ac:dyDescent="0.3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x14ac:dyDescent="0.3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3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x14ac:dyDescent="0.3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3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x14ac:dyDescent="0.3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x14ac:dyDescent="0.3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x14ac:dyDescent="0.3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x14ac:dyDescent="0.3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x14ac:dyDescent="0.3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x14ac:dyDescent="0.3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x14ac:dyDescent="0.3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x14ac:dyDescent="0.3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x14ac:dyDescent="0.3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x14ac:dyDescent="0.3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x14ac:dyDescent="0.3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x14ac:dyDescent="0.3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x14ac:dyDescent="0.3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x14ac:dyDescent="0.3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x14ac:dyDescent="0.3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x14ac:dyDescent="0.3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x14ac:dyDescent="0.3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x14ac:dyDescent="0.3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x14ac:dyDescent="0.3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x14ac:dyDescent="0.3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x14ac:dyDescent="0.3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x14ac:dyDescent="0.3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x14ac:dyDescent="0.3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x14ac:dyDescent="0.3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x14ac:dyDescent="0.3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x14ac:dyDescent="0.3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x14ac:dyDescent="0.3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x14ac:dyDescent="0.3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x14ac:dyDescent="0.3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x14ac:dyDescent="0.3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x14ac:dyDescent="0.3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x14ac:dyDescent="0.3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x14ac:dyDescent="0.3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x14ac:dyDescent="0.3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x14ac:dyDescent="0.3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x14ac:dyDescent="0.3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x14ac:dyDescent="0.3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x14ac:dyDescent="0.3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x14ac:dyDescent="0.3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x14ac:dyDescent="0.3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x14ac:dyDescent="0.3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x14ac:dyDescent="0.3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x14ac:dyDescent="0.3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x14ac:dyDescent="0.3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x14ac:dyDescent="0.3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x14ac:dyDescent="0.3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x14ac:dyDescent="0.3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x14ac:dyDescent="0.3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x14ac:dyDescent="0.3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N7" sqref="N7"/>
    </sheetView>
  </sheetViews>
  <sheetFormatPr defaultRowHeight="14.4" x14ac:dyDescent="0.3"/>
  <cols>
    <col min="1" max="1" width="6.6640625" customWidth="1"/>
    <col min="2" max="2" width="3.6640625" customWidth="1"/>
    <col min="3" max="3" width="37.33203125" customWidth="1"/>
    <col min="4" max="9" width="7.6640625" customWidth="1"/>
    <col min="10" max="13" width="8.44140625" customWidth="1"/>
  </cols>
  <sheetData>
    <row r="1" spans="1:25" x14ac:dyDescent="0.3">
      <c r="A1" s="44">
        <v>5</v>
      </c>
      <c r="B1" s="44" t="s">
        <v>147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3">
      <c r="A2" s="44" t="s">
        <v>148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0.199999999999999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3">
      <c r="A4" s="44"/>
      <c r="B4" s="61" t="s">
        <v>22</v>
      </c>
      <c r="C4" s="61" t="s">
        <v>23</v>
      </c>
      <c r="D4" s="61" t="s">
        <v>24</v>
      </c>
      <c r="E4" s="80" t="s">
        <v>149</v>
      </c>
      <c r="F4" s="80"/>
      <c r="G4" s="80"/>
      <c r="H4" s="80" t="s">
        <v>150</v>
      </c>
      <c r="I4" s="80"/>
      <c r="J4" s="80" t="s">
        <v>123</v>
      </c>
      <c r="K4" s="80"/>
      <c r="L4" s="80" t="s">
        <v>124</v>
      </c>
      <c r="M4" s="81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3">
      <c r="A5" s="44"/>
      <c r="B5" s="62"/>
      <c r="C5" s="62">
        <v>1</v>
      </c>
      <c r="D5" s="62">
        <v>2</v>
      </c>
      <c r="E5" s="62">
        <v>3</v>
      </c>
      <c r="F5" s="62">
        <v>4</v>
      </c>
      <c r="G5" s="62">
        <v>5</v>
      </c>
      <c r="H5" s="62">
        <v>6</v>
      </c>
      <c r="I5" s="62">
        <v>7</v>
      </c>
      <c r="J5" s="62">
        <v>8</v>
      </c>
      <c r="K5" s="62">
        <v>9</v>
      </c>
      <c r="L5" s="62">
        <v>10</v>
      </c>
      <c r="M5" s="62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3">
      <c r="A6" s="49"/>
      <c r="B6" s="76" t="s">
        <v>151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3">
      <c r="A7" s="49"/>
      <c r="B7" s="60">
        <v>1</v>
      </c>
      <c r="C7" s="60" t="s">
        <v>59</v>
      </c>
      <c r="D7" s="60" t="s">
        <v>26</v>
      </c>
      <c r="E7" s="47">
        <v>50.66</v>
      </c>
      <c r="F7" s="47">
        <v>45.23</v>
      </c>
      <c r="G7" s="47">
        <v>58.93</v>
      </c>
      <c r="H7" s="47">
        <v>12.01</v>
      </c>
      <c r="I7" s="47">
        <v>-14.03</v>
      </c>
      <c r="J7" s="51">
        <v>1.4395</v>
      </c>
      <c r="K7" s="51">
        <v>0.98160000000000003</v>
      </c>
      <c r="L7" s="51">
        <v>5.6517504976431203E-2</v>
      </c>
      <c r="M7" s="51">
        <v>3.7032130161552601E-2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3">
      <c r="A8" s="49"/>
      <c r="B8" s="60">
        <v>2</v>
      </c>
      <c r="C8" s="60" t="s">
        <v>34</v>
      </c>
      <c r="D8" s="60" t="s">
        <v>35</v>
      </c>
      <c r="E8" s="47">
        <v>312.14</v>
      </c>
      <c r="F8" s="47">
        <v>288.58</v>
      </c>
      <c r="G8" s="47">
        <v>256.87</v>
      </c>
      <c r="H8" s="47">
        <v>8.16</v>
      </c>
      <c r="I8" s="47">
        <v>21.52</v>
      </c>
      <c r="J8" s="51">
        <v>1.1779999999999999</v>
      </c>
      <c r="K8" s="51">
        <v>1.4423999999999999</v>
      </c>
      <c r="L8" s="51">
        <v>0.107884972756303</v>
      </c>
      <c r="M8" s="51">
        <v>0.126930818553736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3">
      <c r="A9" s="49"/>
      <c r="B9" s="60">
        <v>3</v>
      </c>
      <c r="C9" s="60" t="s">
        <v>28</v>
      </c>
      <c r="D9" s="60" t="s">
        <v>26</v>
      </c>
      <c r="E9" s="47">
        <v>221.59</v>
      </c>
      <c r="F9" s="47">
        <v>218.32</v>
      </c>
      <c r="G9" s="47">
        <v>204.93</v>
      </c>
      <c r="H9" s="47">
        <v>1.5</v>
      </c>
      <c r="I9" s="47">
        <v>8.1300000000000008</v>
      </c>
      <c r="J9" s="51">
        <v>0.2341</v>
      </c>
      <c r="K9" s="51">
        <v>0.1075</v>
      </c>
      <c r="L9" s="51">
        <v>2.4587274357765298E-3</v>
      </c>
      <c r="M9" s="51">
        <v>1.0854245047351701E-3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3">
      <c r="A10" s="49"/>
      <c r="B10" s="60">
        <v>4</v>
      </c>
      <c r="C10" s="60" t="s">
        <v>60</v>
      </c>
      <c r="D10" s="60" t="s">
        <v>35</v>
      </c>
      <c r="E10" s="47">
        <v>177.07</v>
      </c>
      <c r="F10" s="47">
        <v>175.32</v>
      </c>
      <c r="G10" s="47">
        <v>144.63</v>
      </c>
      <c r="H10" s="47">
        <v>1</v>
      </c>
      <c r="I10" s="47">
        <v>22.43</v>
      </c>
      <c r="J10" s="51">
        <v>0.71240000000000003</v>
      </c>
      <c r="K10" s="51">
        <v>0.94130000000000003</v>
      </c>
      <c r="L10" s="51">
        <v>2.4255013893471299E-2</v>
      </c>
      <c r="M10" s="51">
        <v>3.0806901384395201E-2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3">
      <c r="A11" s="49"/>
      <c r="B11" s="60">
        <v>5</v>
      </c>
      <c r="C11" s="60" t="s">
        <v>50</v>
      </c>
      <c r="D11" s="60" t="s">
        <v>26</v>
      </c>
      <c r="E11" s="47">
        <v>402.68</v>
      </c>
      <c r="F11" s="47">
        <v>399.52</v>
      </c>
      <c r="G11" s="47">
        <v>307.89</v>
      </c>
      <c r="H11" s="47">
        <v>0.79</v>
      </c>
      <c r="I11" s="47">
        <v>30.79</v>
      </c>
      <c r="J11" s="51">
        <v>0.87150000000000005</v>
      </c>
      <c r="K11" s="51">
        <v>0.48159999999999997</v>
      </c>
      <c r="L11" s="51">
        <v>3.3226046429482902E-5</v>
      </c>
      <c r="M11" s="51">
        <v>0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3">
      <c r="A12" s="49"/>
      <c r="B12" s="60">
        <v>6</v>
      </c>
      <c r="C12" s="60" t="s">
        <v>48</v>
      </c>
      <c r="D12" s="60" t="s">
        <v>49</v>
      </c>
      <c r="E12" s="47">
        <v>1515.7</v>
      </c>
      <c r="F12" s="47">
        <v>1506.15</v>
      </c>
      <c r="G12" s="47">
        <v>1818.1</v>
      </c>
      <c r="H12" s="47">
        <v>0.63</v>
      </c>
      <c r="I12" s="47">
        <v>-16.63</v>
      </c>
      <c r="J12" s="51">
        <v>6.1372</v>
      </c>
      <c r="K12" s="51">
        <v>3.9725000000000001</v>
      </c>
      <c r="L12" s="51">
        <v>3.0866997132924501E-2</v>
      </c>
      <c r="M12" s="51">
        <v>1.91864743337011E-2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3">
      <c r="A13" s="49"/>
      <c r="B13" s="60">
        <v>7</v>
      </c>
      <c r="C13" s="60" t="s">
        <v>63</v>
      </c>
      <c r="D13" s="60" t="s">
        <v>26</v>
      </c>
      <c r="E13" s="47">
        <v>315.81</v>
      </c>
      <c r="F13" s="47">
        <v>314.57</v>
      </c>
      <c r="G13" s="47">
        <v>261.64</v>
      </c>
      <c r="H13" s="47">
        <v>0.39</v>
      </c>
      <c r="I13" s="47">
        <v>20.7</v>
      </c>
      <c r="J13" s="51">
        <v>0.79669999999999996</v>
      </c>
      <c r="K13" s="51">
        <v>0.47110000000000002</v>
      </c>
      <c r="L13" s="51">
        <v>1.1296855786000601E-3</v>
      </c>
      <c r="M13" s="51">
        <v>6.3848500278539198E-4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3">
      <c r="A14" s="49"/>
      <c r="B14" s="60">
        <v>8</v>
      </c>
      <c r="C14" s="60" t="s">
        <v>44</v>
      </c>
      <c r="D14" s="60" t="s">
        <v>30</v>
      </c>
      <c r="E14" s="47">
        <v>1057.42</v>
      </c>
      <c r="F14" s="47">
        <v>1053.5999999999999</v>
      </c>
      <c r="G14" s="47">
        <v>852.66</v>
      </c>
      <c r="H14" s="47">
        <v>0.36</v>
      </c>
      <c r="I14" s="47">
        <v>24.01</v>
      </c>
      <c r="J14" s="51">
        <v>8.0299999999999996E-2</v>
      </c>
      <c r="K14" s="51">
        <v>0.38169999999999998</v>
      </c>
      <c r="L14" s="51">
        <v>5.9806883572943801E-4</v>
      </c>
      <c r="M14" s="51">
        <v>2.7135612618379001E-3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3">
      <c r="A15" s="49"/>
      <c r="B15" s="60">
        <v>9</v>
      </c>
      <c r="C15" s="60" t="s">
        <v>64</v>
      </c>
      <c r="D15" s="60" t="s">
        <v>26</v>
      </c>
      <c r="E15" s="47">
        <v>199.98</v>
      </c>
      <c r="F15" s="47">
        <v>199.31</v>
      </c>
      <c r="G15" s="47">
        <v>215.04</v>
      </c>
      <c r="H15" s="47">
        <v>0.34</v>
      </c>
      <c r="I15" s="47">
        <v>-7</v>
      </c>
      <c r="J15" s="51">
        <v>2.9609999999999999</v>
      </c>
      <c r="K15" s="51">
        <v>1.2636000000000001</v>
      </c>
      <c r="L15" s="51">
        <v>5.7481060322885904E-3</v>
      </c>
      <c r="M15" s="51">
        <v>2.36239451030583E-3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3">
      <c r="A16" s="49"/>
      <c r="B16" s="60">
        <v>10</v>
      </c>
      <c r="C16" s="60" t="s">
        <v>36</v>
      </c>
      <c r="D16" s="60" t="s">
        <v>26</v>
      </c>
      <c r="E16" s="47">
        <v>458.27</v>
      </c>
      <c r="F16" s="47">
        <v>456.92</v>
      </c>
      <c r="G16" s="47">
        <v>545.75</v>
      </c>
      <c r="H16" s="47">
        <v>0.3</v>
      </c>
      <c r="I16" s="47">
        <v>-16.03</v>
      </c>
      <c r="J16" s="51">
        <v>0.28549999999999998</v>
      </c>
      <c r="K16" s="51">
        <v>0.32690000000000002</v>
      </c>
      <c r="L16" s="51">
        <v>-6.6452092858818203E-5</v>
      </c>
      <c r="M16" s="51">
        <v>-9.5772750417798095E-5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3">
      <c r="A17" s="49"/>
      <c r="B17" s="60">
        <v>11</v>
      </c>
      <c r="C17" s="60" t="s">
        <v>66</v>
      </c>
      <c r="D17" s="60" t="s">
        <v>26</v>
      </c>
      <c r="E17" s="47">
        <v>2031.97</v>
      </c>
      <c r="F17" s="47">
        <v>2026.78</v>
      </c>
      <c r="G17" s="47">
        <v>1887.77</v>
      </c>
      <c r="H17" s="47">
        <v>0.26</v>
      </c>
      <c r="I17" s="47">
        <v>7.64</v>
      </c>
      <c r="J17" s="51">
        <v>0.54979999999999996</v>
      </c>
      <c r="K17" s="51">
        <v>2.4386999999999999</v>
      </c>
      <c r="L17" s="51">
        <v>3.98712557152983E-4</v>
      </c>
      <c r="M17" s="51">
        <v>1.6919852573813101E-3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3">
      <c r="A18" s="49"/>
      <c r="B18" s="60">
        <v>12</v>
      </c>
      <c r="C18" s="60" t="s">
        <v>82</v>
      </c>
      <c r="D18" s="60" t="s">
        <v>30</v>
      </c>
      <c r="E18" s="47">
        <v>382.86</v>
      </c>
      <c r="F18" s="47">
        <v>382.04</v>
      </c>
      <c r="G18" s="47">
        <v>374.72</v>
      </c>
      <c r="H18" s="47">
        <v>0.21</v>
      </c>
      <c r="I18" s="47">
        <v>2.17</v>
      </c>
      <c r="J18" s="51">
        <v>0.2495</v>
      </c>
      <c r="K18" s="51">
        <v>0.33739999999999998</v>
      </c>
      <c r="L18" s="51">
        <v>2.6580837143527297E-4</v>
      </c>
      <c r="M18" s="51">
        <v>3.1924250139269599E-4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3">
      <c r="A19" s="49"/>
      <c r="B19" s="60">
        <v>13</v>
      </c>
      <c r="C19" s="60" t="s">
        <v>54</v>
      </c>
      <c r="D19" s="60" t="s">
        <v>26</v>
      </c>
      <c r="E19" s="47">
        <v>1106.6500000000001</v>
      </c>
      <c r="F19" s="47">
        <v>1105.3499999999999</v>
      </c>
      <c r="G19" s="47">
        <v>941.38</v>
      </c>
      <c r="H19" s="47">
        <v>0.12</v>
      </c>
      <c r="I19" s="47">
        <v>17.559999999999999</v>
      </c>
      <c r="J19" s="51">
        <v>2.4988000000000001</v>
      </c>
      <c r="K19" s="51">
        <v>3.3532999999999999</v>
      </c>
      <c r="L19" s="51">
        <v>3.9206734786710103E-3</v>
      </c>
      <c r="M19" s="51">
        <v>5.0440315220047398E-3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95" customHeight="1" x14ac:dyDescent="0.3">
      <c r="A20" s="49"/>
      <c r="B20" s="74" t="s">
        <v>58</v>
      </c>
      <c r="C20" s="74"/>
      <c r="D20" s="74"/>
      <c r="E20" s="75"/>
      <c r="F20" s="75"/>
      <c r="G20" s="75"/>
      <c r="H20" s="75"/>
      <c r="I20" s="75"/>
      <c r="J20" s="52">
        <f>SUM(J7:J19)</f>
        <v>17.994299999999999</v>
      </c>
      <c r="K20" s="52">
        <f>SUM(K7:K19)</f>
        <v>16.499600000000001</v>
      </c>
      <c r="L20" s="52">
        <f>SUM(L7:L19)</f>
        <v>0.23401104500235453</v>
      </c>
      <c r="M20" s="51">
        <f>SUM(M7:M19)</f>
        <v>0.22771567624341019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2.5" customHeight="1" x14ac:dyDescent="0.3">
      <c r="A21" s="49"/>
      <c r="B21" s="76" t="s">
        <v>152</v>
      </c>
      <c r="C21" s="77"/>
      <c r="D21" s="77"/>
      <c r="E21" s="78"/>
      <c r="F21" s="78"/>
      <c r="G21" s="78"/>
      <c r="H21" s="78"/>
      <c r="I21" s="78"/>
      <c r="J21" s="79"/>
      <c r="K21" s="79"/>
      <c r="L21" s="79"/>
      <c r="M21" s="79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3">
      <c r="A22" s="49"/>
      <c r="B22" s="60">
        <v>1</v>
      </c>
      <c r="C22" s="60" t="s">
        <v>25</v>
      </c>
      <c r="D22" s="60" t="s">
        <v>26</v>
      </c>
      <c r="E22" s="47">
        <v>466.43</v>
      </c>
      <c r="F22" s="47">
        <v>502.92</v>
      </c>
      <c r="G22" s="47">
        <v>321.39999999999998</v>
      </c>
      <c r="H22" s="47">
        <v>-7.26</v>
      </c>
      <c r="I22" s="47">
        <v>45.12</v>
      </c>
      <c r="J22" s="51">
        <v>2.9268999999999998</v>
      </c>
      <c r="K22" s="51">
        <v>3.8681000000000001</v>
      </c>
      <c r="L22" s="51">
        <v>-0.291026940675226</v>
      </c>
      <c r="M22" s="51">
        <v>-0.36952319536204498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3">
      <c r="A23" s="49"/>
      <c r="B23" s="60">
        <v>2</v>
      </c>
      <c r="C23" s="60" t="s">
        <v>61</v>
      </c>
      <c r="D23" s="60" t="s">
        <v>26</v>
      </c>
      <c r="E23" s="47">
        <v>43.73</v>
      </c>
      <c r="F23" s="47">
        <v>46.24</v>
      </c>
      <c r="G23" s="47">
        <v>97.03</v>
      </c>
      <c r="H23" s="47">
        <v>-5.43</v>
      </c>
      <c r="I23" s="47">
        <v>-54.93</v>
      </c>
      <c r="J23" s="51">
        <v>2.6815000000000002</v>
      </c>
      <c r="K23" s="51">
        <v>1.6821999999999999</v>
      </c>
      <c r="L23" s="51">
        <v>-5.1101659408436799E-2</v>
      </c>
      <c r="M23" s="51">
        <v>-3.07749771342559E-2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3">
      <c r="A24" s="49"/>
      <c r="B24" s="60">
        <v>3</v>
      </c>
      <c r="C24" s="60" t="s">
        <v>41</v>
      </c>
      <c r="D24" s="60" t="s">
        <v>26</v>
      </c>
      <c r="E24" s="47">
        <v>359.06</v>
      </c>
      <c r="F24" s="47">
        <v>369.05</v>
      </c>
      <c r="G24" s="47">
        <v>508.81</v>
      </c>
      <c r="H24" s="47">
        <v>-2.71</v>
      </c>
      <c r="I24" s="47">
        <v>-29.43</v>
      </c>
      <c r="J24" s="51">
        <v>0.68069999999999997</v>
      </c>
      <c r="K24" s="51">
        <v>0.57950000000000002</v>
      </c>
      <c r="L24" s="51">
        <v>-4.8842288251236604E-3</v>
      </c>
      <c r="M24" s="51">
        <v>-3.9905312674086797E-3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3">
      <c r="A25" s="49"/>
      <c r="B25" s="60">
        <v>4</v>
      </c>
      <c r="C25" s="60" t="s">
        <v>42</v>
      </c>
      <c r="D25" s="60" t="s">
        <v>30</v>
      </c>
      <c r="E25" s="47">
        <v>3153.78</v>
      </c>
      <c r="F25" s="47">
        <v>3232.74</v>
      </c>
      <c r="G25" s="47">
        <v>2789.82</v>
      </c>
      <c r="H25" s="47">
        <v>-2.44</v>
      </c>
      <c r="I25" s="47">
        <v>13.05</v>
      </c>
      <c r="J25" s="51">
        <v>0.61450000000000005</v>
      </c>
      <c r="K25" s="51">
        <v>1.4370000000000001</v>
      </c>
      <c r="L25" s="51">
        <v>-2.1763060411265401E-2</v>
      </c>
      <c r="M25" s="51">
        <v>-4.8939875463500197E-2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3">
      <c r="A26" s="49"/>
      <c r="B26" s="60">
        <v>5</v>
      </c>
      <c r="C26" s="60" t="s">
        <v>27</v>
      </c>
      <c r="D26" s="60" t="s">
        <v>26</v>
      </c>
      <c r="E26" s="47">
        <v>61.8</v>
      </c>
      <c r="F26" s="47">
        <v>62.39</v>
      </c>
      <c r="G26" s="47">
        <v>88.87</v>
      </c>
      <c r="H26" s="47">
        <v>-0.95</v>
      </c>
      <c r="I26" s="47">
        <v>-30.46</v>
      </c>
      <c r="J26" s="51">
        <v>2.2955000000000001</v>
      </c>
      <c r="K26" s="51">
        <v>1.2157</v>
      </c>
      <c r="L26" s="51">
        <v>-8.0938649102049398E-2</v>
      </c>
      <c r="M26" s="51">
        <v>-4.1182282679657699E-2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3">
      <c r="A27" s="49"/>
      <c r="B27" s="60">
        <v>6</v>
      </c>
      <c r="C27" s="60" t="s">
        <v>38</v>
      </c>
      <c r="D27" s="60" t="s">
        <v>26</v>
      </c>
      <c r="E27" s="47">
        <v>524.98</v>
      </c>
      <c r="F27" s="47">
        <v>529.23</v>
      </c>
      <c r="G27" s="47">
        <v>494.12</v>
      </c>
      <c r="H27" s="47">
        <v>-0.8</v>
      </c>
      <c r="I27" s="47">
        <v>6.25</v>
      </c>
      <c r="J27" s="51">
        <v>2.1600000000000001E-2</v>
      </c>
      <c r="K27" s="51">
        <v>3.4099999999999998E-2</v>
      </c>
      <c r="L27" s="51">
        <v>-3.3226046429413703E-5</v>
      </c>
      <c r="M27" s="51">
        <v>-9.5772750417806999E-5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3">
      <c r="A28" s="49"/>
      <c r="B28" s="60">
        <v>7</v>
      </c>
      <c r="C28" s="60" t="s">
        <v>85</v>
      </c>
      <c r="D28" s="60" t="s">
        <v>84</v>
      </c>
      <c r="E28" s="47">
        <v>255.8</v>
      </c>
      <c r="F28" s="47">
        <v>257.8</v>
      </c>
      <c r="G28" s="47">
        <v>275.12</v>
      </c>
      <c r="H28" s="47">
        <v>-0.78</v>
      </c>
      <c r="I28" s="47">
        <v>-7.02</v>
      </c>
      <c r="J28" s="51">
        <v>1.14E-2</v>
      </c>
      <c r="K28" s="51">
        <v>8.7400000000000005E-2</v>
      </c>
      <c r="L28" s="51">
        <v>-6.6452092858825101E-5</v>
      </c>
      <c r="M28" s="51">
        <v>-7.0233350306392404E-4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3">
      <c r="A29" s="49"/>
      <c r="B29" s="60">
        <v>8</v>
      </c>
      <c r="C29" s="60" t="s">
        <v>62</v>
      </c>
      <c r="D29" s="60" t="s">
        <v>26</v>
      </c>
      <c r="E29" s="47">
        <v>293.35000000000002</v>
      </c>
      <c r="F29" s="47">
        <v>294.70999999999998</v>
      </c>
      <c r="G29" s="47">
        <v>317.61</v>
      </c>
      <c r="H29" s="47">
        <v>-0.46</v>
      </c>
      <c r="I29" s="47">
        <v>-7.64</v>
      </c>
      <c r="J29" s="51">
        <v>0.65449999999999997</v>
      </c>
      <c r="K29" s="51">
        <v>0.46079999999999999</v>
      </c>
      <c r="L29" s="51">
        <v>-1.1296855785999801E-3</v>
      </c>
      <c r="M29" s="51">
        <v>-7.66182003342456E-4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3">
      <c r="A30" s="49"/>
      <c r="B30" s="60">
        <v>9</v>
      </c>
      <c r="C30" s="60" t="s">
        <v>32</v>
      </c>
      <c r="D30" s="60" t="s">
        <v>30</v>
      </c>
      <c r="E30" s="47">
        <v>2896.65</v>
      </c>
      <c r="F30" s="47">
        <v>2900.58</v>
      </c>
      <c r="G30" s="47">
        <v>2658.18</v>
      </c>
      <c r="H30" s="47">
        <v>-0.14000000000000001</v>
      </c>
      <c r="I30" s="47">
        <v>8.9700000000000006</v>
      </c>
      <c r="J30" s="51">
        <v>2.1480000000000001</v>
      </c>
      <c r="K30" s="51">
        <v>3.1259999999999999</v>
      </c>
      <c r="L30" s="51">
        <v>-8.9710325359411999E-4</v>
      </c>
      <c r="M30" s="51">
        <v>-1.24504575543145E-3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3">
      <c r="A31" s="49"/>
      <c r="B31" s="60">
        <v>10</v>
      </c>
      <c r="C31" s="60" t="s">
        <v>65</v>
      </c>
      <c r="D31" s="60" t="s">
        <v>26</v>
      </c>
      <c r="E31" s="47">
        <v>152.69999999999999</v>
      </c>
      <c r="F31" s="47">
        <v>152.84</v>
      </c>
      <c r="G31" s="47">
        <v>166.89</v>
      </c>
      <c r="H31" s="47">
        <v>-0.09</v>
      </c>
      <c r="I31" s="47">
        <v>-8.5</v>
      </c>
      <c r="J31" s="51">
        <v>0.59219999999999995</v>
      </c>
      <c r="K31" s="51">
        <v>0.1671</v>
      </c>
      <c r="L31" s="51">
        <v>-1.6613023214706001E-3</v>
      </c>
      <c r="M31" s="51">
        <v>-4.4693950194979503E-4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3">
      <c r="A32" s="49"/>
      <c r="B32" s="60">
        <v>11</v>
      </c>
      <c r="C32" s="60" t="s">
        <v>55</v>
      </c>
      <c r="D32" s="60" t="s">
        <v>56</v>
      </c>
      <c r="E32" s="47">
        <v>1316.32</v>
      </c>
      <c r="F32" s="47">
        <v>1317.17</v>
      </c>
      <c r="G32" s="47">
        <v>1192.2</v>
      </c>
      <c r="H32" s="47">
        <v>-0.06</v>
      </c>
      <c r="I32" s="47">
        <v>10.41</v>
      </c>
      <c r="J32" s="51">
        <v>5.0812999999999997</v>
      </c>
      <c r="K32" s="51">
        <v>1.1969000000000001</v>
      </c>
      <c r="L32" s="51">
        <v>-1.2858479968182301E-2</v>
      </c>
      <c r="M32" s="51">
        <v>-2.9051067626735599E-3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3">
      <c r="A33" s="49"/>
      <c r="B33" s="60">
        <v>12</v>
      </c>
      <c r="C33" s="60" t="s">
        <v>33</v>
      </c>
      <c r="D33" s="60" t="s">
        <v>30</v>
      </c>
      <c r="E33" s="47">
        <v>1471.25</v>
      </c>
      <c r="F33" s="47">
        <v>1471.96</v>
      </c>
      <c r="G33" s="47">
        <v>1292.1500000000001</v>
      </c>
      <c r="H33" s="47">
        <v>-0.05</v>
      </c>
      <c r="I33" s="47">
        <v>13.86</v>
      </c>
      <c r="J33" s="51">
        <v>3.2833000000000001</v>
      </c>
      <c r="K33" s="51">
        <v>1.4648000000000001</v>
      </c>
      <c r="L33" s="51">
        <v>-8.8713543966531892E-3</v>
      </c>
      <c r="M33" s="51">
        <v>-3.7989857665730099E-3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3">
      <c r="A34" s="49"/>
      <c r="B34" s="60">
        <v>13</v>
      </c>
      <c r="C34" s="60" t="s">
        <v>37</v>
      </c>
      <c r="D34" s="60" t="s">
        <v>26</v>
      </c>
      <c r="E34" s="47">
        <v>175.11</v>
      </c>
      <c r="F34" s="47">
        <v>175.19</v>
      </c>
      <c r="G34" s="47">
        <v>143.38999999999999</v>
      </c>
      <c r="H34" s="47">
        <v>-0.05</v>
      </c>
      <c r="I34" s="47">
        <v>22.12</v>
      </c>
      <c r="J34" s="51">
        <v>5.1147999999999998</v>
      </c>
      <c r="K34" s="51">
        <v>3.1583999999999999</v>
      </c>
      <c r="L34" s="51">
        <v>-1.88723943719061E-2</v>
      </c>
      <c r="M34" s="51">
        <v>-1.11734875487444E-2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3">
      <c r="A35" s="49"/>
      <c r="B35" s="60">
        <v>14</v>
      </c>
      <c r="C35" s="60" t="s">
        <v>45</v>
      </c>
      <c r="D35" s="60" t="s">
        <v>30</v>
      </c>
      <c r="E35" s="47">
        <v>568.05999999999995</v>
      </c>
      <c r="F35" s="47">
        <v>568.09</v>
      </c>
      <c r="G35" s="47">
        <v>503.78</v>
      </c>
      <c r="H35" s="47">
        <v>-0.01</v>
      </c>
      <c r="I35" s="47">
        <v>12.76</v>
      </c>
      <c r="J35" s="51">
        <v>3.2833000000000001</v>
      </c>
      <c r="K35" s="51">
        <v>1.4648000000000001</v>
      </c>
      <c r="L35" s="51">
        <v>-1.26258976431769E-3</v>
      </c>
      <c r="M35" s="51">
        <v>-5.4271225236745201E-4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2.95" customHeight="1" x14ac:dyDescent="0.3">
      <c r="A36" s="49"/>
      <c r="B36" s="74" t="s">
        <v>58</v>
      </c>
      <c r="C36" s="74"/>
      <c r="D36" s="74"/>
      <c r="E36" s="75"/>
      <c r="F36" s="75"/>
      <c r="G36" s="75"/>
      <c r="H36" s="75"/>
      <c r="I36" s="75"/>
      <c r="J36" s="52">
        <f>SUM(J22:J35)</f>
        <v>29.389499999999998</v>
      </c>
      <c r="K36" s="52">
        <f>SUM(K22:K35)</f>
        <v>19.942800000000002</v>
      </c>
      <c r="L36" s="52">
        <f>SUM(L22:L35)</f>
        <v>-0.49536712621611351</v>
      </c>
      <c r="M36" s="51">
        <f>SUM(M22:M35)</f>
        <v>-0.51608742775143124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3">
      <c r="A37" s="49"/>
      <c r="B37" s="76" t="s">
        <v>153</v>
      </c>
      <c r="C37" s="77"/>
      <c r="D37" s="77"/>
      <c r="E37" s="78"/>
      <c r="F37" s="78"/>
      <c r="G37" s="78"/>
      <c r="H37" s="78"/>
      <c r="I37" s="78"/>
      <c r="J37" s="79"/>
      <c r="K37" s="79"/>
      <c r="L37" s="79"/>
      <c r="M37" s="79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3">
      <c r="A38" s="49"/>
      <c r="B38" s="60">
        <v>1</v>
      </c>
      <c r="C38" s="60" t="s">
        <v>29</v>
      </c>
      <c r="D38" s="60" t="s">
        <v>30</v>
      </c>
      <c r="E38" s="47">
        <v>108.83</v>
      </c>
      <c r="F38" s="47">
        <v>108.83</v>
      </c>
      <c r="G38" s="47">
        <v>115.95</v>
      </c>
      <c r="H38" s="47">
        <v>0</v>
      </c>
      <c r="I38" s="47">
        <v>-6.14</v>
      </c>
      <c r="J38" s="51">
        <v>0.1041</v>
      </c>
      <c r="K38" s="51">
        <v>0.56979999999999997</v>
      </c>
      <c r="L38" s="51">
        <v>0</v>
      </c>
      <c r="M38" s="51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3">
      <c r="A39" s="49"/>
      <c r="B39" s="60">
        <v>2</v>
      </c>
      <c r="C39" s="60" t="s">
        <v>46</v>
      </c>
      <c r="D39" s="60" t="s">
        <v>47</v>
      </c>
      <c r="E39" s="47">
        <v>198.74</v>
      </c>
      <c r="F39" s="47">
        <v>198.74</v>
      </c>
      <c r="G39" s="47">
        <v>187.21</v>
      </c>
      <c r="H39" s="47">
        <v>0</v>
      </c>
      <c r="I39" s="47">
        <v>6.16</v>
      </c>
      <c r="J39" s="51">
        <v>17.544899999999998</v>
      </c>
      <c r="K39" s="51">
        <v>18.393699999999999</v>
      </c>
      <c r="L39" s="51">
        <v>0</v>
      </c>
      <c r="M39" s="51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3">
      <c r="A40" s="49"/>
      <c r="B40" s="60">
        <v>3</v>
      </c>
      <c r="C40" s="60" t="s">
        <v>51</v>
      </c>
      <c r="D40" s="60" t="s">
        <v>26</v>
      </c>
      <c r="E40" s="47">
        <v>231.62</v>
      </c>
      <c r="F40" s="47">
        <v>231.62</v>
      </c>
      <c r="G40" s="47">
        <v>219</v>
      </c>
      <c r="H40" s="47">
        <v>0</v>
      </c>
      <c r="I40" s="47">
        <v>5.76</v>
      </c>
      <c r="J40" s="51">
        <v>0.73660000000000003</v>
      </c>
      <c r="K40" s="51">
        <v>1.8181</v>
      </c>
      <c r="L40" s="51">
        <v>0</v>
      </c>
      <c r="M40" s="51">
        <v>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3">
      <c r="A41" s="49"/>
      <c r="B41" s="60">
        <v>4</v>
      </c>
      <c r="C41" s="60" t="s">
        <v>67</v>
      </c>
      <c r="D41" s="60" t="s">
        <v>30</v>
      </c>
      <c r="E41" s="47">
        <v>72.599999999999994</v>
      </c>
      <c r="F41" s="47">
        <v>72.599999999999994</v>
      </c>
      <c r="G41" s="47">
        <v>69.930000000000007</v>
      </c>
      <c r="H41" s="47">
        <v>0</v>
      </c>
      <c r="I41" s="47">
        <v>3.82</v>
      </c>
      <c r="J41" s="51">
        <v>0.28439999999999999</v>
      </c>
      <c r="K41" s="51">
        <v>0.22789999999999999</v>
      </c>
      <c r="L41" s="51">
        <v>0</v>
      </c>
      <c r="M41" s="51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3">
      <c r="A42" s="49"/>
      <c r="B42" s="60">
        <v>5</v>
      </c>
      <c r="C42" s="60" t="s">
        <v>68</v>
      </c>
      <c r="D42" s="60" t="s">
        <v>30</v>
      </c>
      <c r="E42" s="47">
        <v>320</v>
      </c>
      <c r="F42" s="47">
        <v>320</v>
      </c>
      <c r="G42" s="47">
        <v>364.88</v>
      </c>
      <c r="H42" s="47">
        <v>0</v>
      </c>
      <c r="I42" s="47">
        <v>-12.3</v>
      </c>
      <c r="J42" s="51">
        <v>1.3895999999999999</v>
      </c>
      <c r="K42" s="51">
        <v>0.84540000000000004</v>
      </c>
      <c r="L42" s="51">
        <v>0</v>
      </c>
      <c r="M42" s="51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3">
      <c r="A43" s="49"/>
      <c r="B43" s="60">
        <v>6</v>
      </c>
      <c r="C43" s="60" t="s">
        <v>69</v>
      </c>
      <c r="D43" s="60" t="s">
        <v>30</v>
      </c>
      <c r="E43" s="47">
        <v>447.07</v>
      </c>
      <c r="F43" s="47">
        <v>447.07</v>
      </c>
      <c r="G43" s="47">
        <v>544.71</v>
      </c>
      <c r="H43" s="47">
        <v>0</v>
      </c>
      <c r="I43" s="47">
        <v>-17.93</v>
      </c>
      <c r="J43" s="51">
        <v>3.1478000000000002</v>
      </c>
      <c r="K43" s="51">
        <v>2.3913000000000002</v>
      </c>
      <c r="L43" s="51">
        <v>0</v>
      </c>
      <c r="M43" s="51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3">
      <c r="A44" s="49"/>
      <c r="B44" s="60">
        <v>7</v>
      </c>
      <c r="C44" s="60" t="s">
        <v>70</v>
      </c>
      <c r="D44" s="60" t="s">
        <v>40</v>
      </c>
      <c r="E44" s="47">
        <v>306.79000000000002</v>
      </c>
      <c r="F44" s="47">
        <v>306.79000000000002</v>
      </c>
      <c r="G44" s="47">
        <v>281.41000000000003</v>
      </c>
      <c r="H44" s="47">
        <v>0</v>
      </c>
      <c r="I44" s="47">
        <v>9.02</v>
      </c>
      <c r="J44" s="51">
        <v>0.50329999999999997</v>
      </c>
      <c r="K44" s="51">
        <v>1.0497000000000001</v>
      </c>
      <c r="L44" s="51">
        <v>0</v>
      </c>
      <c r="M44" s="51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3">
      <c r="A45" s="49"/>
      <c r="B45" s="60">
        <v>8</v>
      </c>
      <c r="C45" s="60" t="s">
        <v>39</v>
      </c>
      <c r="D45" s="60" t="s">
        <v>40</v>
      </c>
      <c r="E45" s="47">
        <v>164.44</v>
      </c>
      <c r="F45" s="47">
        <v>164.44</v>
      </c>
      <c r="G45" s="47">
        <v>148.68</v>
      </c>
      <c r="H45" s="47">
        <v>0</v>
      </c>
      <c r="I45" s="47">
        <v>10.6</v>
      </c>
      <c r="J45" s="51">
        <v>1.3118000000000001</v>
      </c>
      <c r="K45" s="51">
        <v>1.3013999999999999</v>
      </c>
      <c r="L45" s="51">
        <v>0</v>
      </c>
      <c r="M45" s="51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3">
      <c r="A46" s="49"/>
      <c r="B46" s="60">
        <v>9</v>
      </c>
      <c r="C46" s="60" t="s">
        <v>71</v>
      </c>
      <c r="D46" s="60" t="s">
        <v>72</v>
      </c>
      <c r="E46" s="47">
        <v>61.14</v>
      </c>
      <c r="F46" s="47">
        <v>61.14</v>
      </c>
      <c r="G46" s="47">
        <v>59.57</v>
      </c>
      <c r="H46" s="47">
        <v>0</v>
      </c>
      <c r="I46" s="47">
        <v>2.64</v>
      </c>
      <c r="J46" s="51">
        <v>2.5003000000000002</v>
      </c>
      <c r="K46" s="51">
        <v>2.3563999999999998</v>
      </c>
      <c r="L46" s="51">
        <v>0</v>
      </c>
      <c r="M46" s="51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3">
      <c r="A47" s="49"/>
      <c r="B47" s="60">
        <v>10</v>
      </c>
      <c r="C47" s="60" t="s">
        <v>73</v>
      </c>
      <c r="D47" s="60" t="s">
        <v>30</v>
      </c>
      <c r="E47" s="47">
        <v>239.99</v>
      </c>
      <c r="F47" s="47">
        <v>239.99</v>
      </c>
      <c r="G47" s="47">
        <v>223.23</v>
      </c>
      <c r="H47" s="47">
        <v>0</v>
      </c>
      <c r="I47" s="47">
        <v>7.51</v>
      </c>
      <c r="J47" s="51">
        <v>1.617</v>
      </c>
      <c r="K47" s="51">
        <v>1.0931</v>
      </c>
      <c r="L47" s="51">
        <v>0</v>
      </c>
      <c r="M47" s="51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3">
      <c r="A48" s="49"/>
      <c r="B48" s="60">
        <v>11</v>
      </c>
      <c r="C48" s="60" t="s">
        <v>74</v>
      </c>
      <c r="D48" s="60" t="s">
        <v>53</v>
      </c>
      <c r="E48" s="47">
        <v>655.45</v>
      </c>
      <c r="F48" s="47">
        <v>655.45</v>
      </c>
      <c r="G48" s="47">
        <v>607.38</v>
      </c>
      <c r="H48" s="47">
        <v>0</v>
      </c>
      <c r="I48" s="47">
        <v>7.91</v>
      </c>
      <c r="J48" s="51">
        <v>4.2221000000000002</v>
      </c>
      <c r="K48" s="51">
        <v>3.9577</v>
      </c>
      <c r="L48" s="51">
        <v>0</v>
      </c>
      <c r="M48" s="51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3">
      <c r="A49" s="49"/>
      <c r="B49" s="60">
        <v>12</v>
      </c>
      <c r="C49" s="60" t="s">
        <v>75</v>
      </c>
      <c r="D49" s="60" t="s">
        <v>53</v>
      </c>
      <c r="E49" s="47">
        <v>497.93</v>
      </c>
      <c r="F49" s="47">
        <v>497.93</v>
      </c>
      <c r="G49" s="47">
        <v>461.9</v>
      </c>
      <c r="H49" s="47">
        <v>0</v>
      </c>
      <c r="I49" s="47">
        <v>7.8</v>
      </c>
      <c r="J49" s="51">
        <v>3.1699999999999999E-2</v>
      </c>
      <c r="K49" s="51">
        <v>0.10100000000000001</v>
      </c>
      <c r="L49" s="51">
        <v>0</v>
      </c>
      <c r="M49" s="51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3">
      <c r="A50" s="49"/>
      <c r="B50" s="60">
        <v>13</v>
      </c>
      <c r="C50" s="60" t="s">
        <v>52</v>
      </c>
      <c r="D50" s="60" t="s">
        <v>53</v>
      </c>
      <c r="E50" s="47">
        <v>656.27</v>
      </c>
      <c r="F50" s="47">
        <v>656.27</v>
      </c>
      <c r="G50" s="47">
        <v>590.29</v>
      </c>
      <c r="H50" s="47">
        <v>0</v>
      </c>
      <c r="I50" s="47">
        <v>11.18</v>
      </c>
      <c r="J50" s="51">
        <v>2.3441999999999998</v>
      </c>
      <c r="K50" s="51">
        <v>2.1473</v>
      </c>
      <c r="L50" s="51">
        <v>0</v>
      </c>
      <c r="M50" s="51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3">
      <c r="A51" s="49"/>
      <c r="B51" s="60">
        <v>14</v>
      </c>
      <c r="C51" s="60" t="s">
        <v>57</v>
      </c>
      <c r="D51" s="60" t="s">
        <v>53</v>
      </c>
      <c r="E51" s="47">
        <v>301.89999999999998</v>
      </c>
      <c r="F51" s="47">
        <v>301.89999999999998</v>
      </c>
      <c r="G51" s="47">
        <v>274.7</v>
      </c>
      <c r="H51" s="47">
        <v>0</v>
      </c>
      <c r="I51" s="47">
        <v>9.9</v>
      </c>
      <c r="J51" s="51">
        <v>0.75839999999999996</v>
      </c>
      <c r="K51" s="51">
        <v>0.90239999999999998</v>
      </c>
      <c r="L51" s="51">
        <v>0</v>
      </c>
      <c r="M51" s="51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3">
      <c r="A52" s="49"/>
      <c r="B52" s="60">
        <v>15</v>
      </c>
      <c r="C52" s="60" t="s">
        <v>76</v>
      </c>
      <c r="D52" s="60" t="s">
        <v>77</v>
      </c>
      <c r="E52" s="47">
        <v>2499</v>
      </c>
      <c r="F52" s="47">
        <v>2499</v>
      </c>
      <c r="G52" s="47">
        <v>2499</v>
      </c>
      <c r="H52" s="47">
        <v>0</v>
      </c>
      <c r="I52" s="47">
        <v>0</v>
      </c>
      <c r="J52" s="51">
        <v>0.63500000000000001</v>
      </c>
      <c r="K52" s="51">
        <v>0.51219999999999999</v>
      </c>
      <c r="L52" s="51">
        <v>0</v>
      </c>
      <c r="M52" s="51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3">
      <c r="A53" s="49"/>
      <c r="B53" s="60">
        <v>16</v>
      </c>
      <c r="C53" s="60" t="s">
        <v>78</v>
      </c>
      <c r="D53" s="60" t="s">
        <v>77</v>
      </c>
      <c r="E53" s="47">
        <v>599</v>
      </c>
      <c r="F53" s="47">
        <v>599</v>
      </c>
      <c r="G53" s="47">
        <v>599</v>
      </c>
      <c r="H53" s="47">
        <v>0</v>
      </c>
      <c r="I53" s="47">
        <v>0</v>
      </c>
      <c r="J53" s="51">
        <v>0.21099999999999999</v>
      </c>
      <c r="K53" s="51">
        <v>0.16400000000000001</v>
      </c>
      <c r="L53" s="51">
        <v>0</v>
      </c>
      <c r="M53" s="51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3">
      <c r="A54" s="49"/>
      <c r="B54" s="60">
        <v>17</v>
      </c>
      <c r="C54" s="60" t="s">
        <v>79</v>
      </c>
      <c r="D54" s="60" t="s">
        <v>77</v>
      </c>
      <c r="E54" s="47">
        <v>1399</v>
      </c>
      <c r="F54" s="47">
        <v>1399</v>
      </c>
      <c r="G54" s="47">
        <v>899</v>
      </c>
      <c r="H54" s="47">
        <v>0</v>
      </c>
      <c r="I54" s="47">
        <v>55.62</v>
      </c>
      <c r="J54" s="51">
        <v>0.9919</v>
      </c>
      <c r="K54" s="51">
        <v>1.0147999999999999</v>
      </c>
      <c r="L54" s="51">
        <v>0</v>
      </c>
      <c r="M54" s="51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3">
      <c r="A55" s="49"/>
      <c r="B55" s="60">
        <v>18</v>
      </c>
      <c r="C55" s="60" t="s">
        <v>119</v>
      </c>
      <c r="D55" s="60" t="s">
        <v>80</v>
      </c>
      <c r="E55" s="47">
        <v>4.8499999999999996</v>
      </c>
      <c r="F55" s="47">
        <v>4.8499999999999996</v>
      </c>
      <c r="G55" s="47">
        <v>6.87</v>
      </c>
      <c r="H55" s="47">
        <v>0</v>
      </c>
      <c r="I55" s="47">
        <v>-29.4</v>
      </c>
      <c r="J55" s="51">
        <v>8.3627000000000002</v>
      </c>
      <c r="K55" s="51">
        <v>12.9291</v>
      </c>
      <c r="L55" s="51">
        <v>0</v>
      </c>
      <c r="M55" s="51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3">
      <c r="A56" s="49"/>
      <c r="B56" s="60">
        <v>19</v>
      </c>
      <c r="C56" s="60" t="s">
        <v>154</v>
      </c>
      <c r="D56" s="60" t="s">
        <v>81</v>
      </c>
      <c r="E56" s="47">
        <v>1976.5</v>
      </c>
      <c r="F56" s="47">
        <v>1976.5</v>
      </c>
      <c r="G56" s="47">
        <v>1976.5</v>
      </c>
      <c r="H56" s="47">
        <v>0</v>
      </c>
      <c r="I56" s="47">
        <v>0</v>
      </c>
      <c r="J56" s="51">
        <v>2.0674000000000001</v>
      </c>
      <c r="K56" s="51">
        <v>3.0667</v>
      </c>
      <c r="L56" s="51">
        <v>0</v>
      </c>
      <c r="M56" s="51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3">
      <c r="A57" s="49"/>
      <c r="B57" s="60">
        <v>20</v>
      </c>
      <c r="C57" s="60" t="s">
        <v>31</v>
      </c>
      <c r="D57" s="60" t="s">
        <v>30</v>
      </c>
      <c r="E57" s="47">
        <v>132</v>
      </c>
      <c r="F57" s="47">
        <v>132</v>
      </c>
      <c r="G57" s="47">
        <v>129</v>
      </c>
      <c r="H57" s="47">
        <v>0</v>
      </c>
      <c r="I57" s="47">
        <v>2.33</v>
      </c>
      <c r="J57" s="51">
        <v>1.1177999999999999</v>
      </c>
      <c r="K57" s="51">
        <v>0.5917</v>
      </c>
      <c r="L57" s="51">
        <v>0</v>
      </c>
      <c r="M57" s="51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3">
      <c r="A58" s="49"/>
      <c r="B58" s="60">
        <v>21</v>
      </c>
      <c r="C58" s="60" t="s">
        <v>43</v>
      </c>
      <c r="D58" s="60" t="s">
        <v>30</v>
      </c>
      <c r="E58" s="47">
        <v>6.24</v>
      </c>
      <c r="F58" s="47">
        <v>6.24</v>
      </c>
      <c r="G58" s="47">
        <v>6.18</v>
      </c>
      <c r="H58" s="47">
        <v>0</v>
      </c>
      <c r="I58" s="47">
        <v>0.97</v>
      </c>
      <c r="J58" s="51">
        <v>0.34949999999999998</v>
      </c>
      <c r="K58" s="51">
        <v>0.19689999999999999</v>
      </c>
      <c r="L58" s="51">
        <v>0</v>
      </c>
      <c r="M58" s="51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3">
      <c r="A59" s="49"/>
      <c r="B59" s="60">
        <v>22</v>
      </c>
      <c r="C59" s="60" t="s">
        <v>83</v>
      </c>
      <c r="D59" s="60" t="s">
        <v>84</v>
      </c>
      <c r="E59" s="47">
        <v>253.79</v>
      </c>
      <c r="F59" s="47">
        <v>253.79</v>
      </c>
      <c r="G59" s="47">
        <v>274.17</v>
      </c>
      <c r="H59" s="47">
        <v>0</v>
      </c>
      <c r="I59" s="47">
        <v>-7.43</v>
      </c>
      <c r="J59" s="51">
        <v>1.4673</v>
      </c>
      <c r="K59" s="51">
        <v>6.7018000000000004</v>
      </c>
      <c r="L59" s="51">
        <v>0</v>
      </c>
      <c r="M59" s="51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3">
      <c r="A60" s="49"/>
      <c r="B60" s="60">
        <v>23</v>
      </c>
      <c r="C60" s="60" t="s">
        <v>86</v>
      </c>
      <c r="D60" s="60" t="s">
        <v>87</v>
      </c>
      <c r="E60" s="47">
        <v>1.79</v>
      </c>
      <c r="F60" s="47">
        <v>1.79</v>
      </c>
      <c r="G60" s="47">
        <v>1.79</v>
      </c>
      <c r="H60" s="47">
        <v>0</v>
      </c>
      <c r="I60" s="47">
        <v>0</v>
      </c>
      <c r="J60" s="51">
        <v>6.4500000000000002E-2</v>
      </c>
      <c r="K60" s="51">
        <v>0.54679999999999995</v>
      </c>
      <c r="L60" s="51">
        <v>0</v>
      </c>
      <c r="M60" s="51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3">
      <c r="A61" s="49"/>
      <c r="B61" s="60">
        <v>24</v>
      </c>
      <c r="C61" s="60" t="s">
        <v>88</v>
      </c>
      <c r="D61" s="60" t="s">
        <v>30</v>
      </c>
      <c r="E61" s="47">
        <v>111.48</v>
      </c>
      <c r="F61" s="47">
        <v>111.48</v>
      </c>
      <c r="G61" s="47">
        <v>110.39</v>
      </c>
      <c r="H61" s="47">
        <v>0</v>
      </c>
      <c r="I61" s="47">
        <v>0.99</v>
      </c>
      <c r="J61" s="51">
        <v>0.85289999999999999</v>
      </c>
      <c r="K61" s="51">
        <v>0.6784</v>
      </c>
      <c r="L61" s="51">
        <v>0</v>
      </c>
      <c r="M61" s="51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2.95" customHeight="1" x14ac:dyDescent="0.3">
      <c r="A62" s="49"/>
      <c r="B62" s="74" t="s">
        <v>58</v>
      </c>
      <c r="C62" s="74"/>
      <c r="D62" s="74"/>
      <c r="E62" s="75"/>
      <c r="F62" s="75"/>
      <c r="G62" s="75"/>
      <c r="H62" s="75"/>
      <c r="I62" s="75"/>
      <c r="J62" s="52">
        <f>SUM(J38:J61)</f>
        <v>52.616199999999999</v>
      </c>
      <c r="K62" s="52">
        <f>SUM(K38:K61)</f>
        <v>63.557600000000008</v>
      </c>
      <c r="L62" s="52">
        <f>SUM(L38:L61)</f>
        <v>0</v>
      </c>
      <c r="M62" s="51">
        <f>SUM(M38:M61)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3">
      <c r="A63" s="49"/>
      <c r="B63" s="49"/>
      <c r="C63" s="49"/>
      <c r="D63" s="49"/>
      <c r="E63" s="53"/>
      <c r="F63" s="53"/>
      <c r="G63" s="53"/>
      <c r="H63" s="53"/>
      <c r="I63" s="53"/>
      <c r="J63" s="54"/>
      <c r="K63" s="54"/>
      <c r="L63" s="54"/>
      <c r="M63" s="54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3">
      <c r="A64" s="49"/>
      <c r="B64" s="49"/>
      <c r="C64" s="49"/>
      <c r="D64" s="49"/>
      <c r="E64" s="53"/>
      <c r="F64" s="53"/>
      <c r="G64" s="53"/>
      <c r="H64" s="53"/>
      <c r="I64" s="53"/>
      <c r="J64" s="54">
        <f>SUM(J20,J36,J62)</f>
        <v>100</v>
      </c>
      <c r="K64" s="54">
        <f>SUM(K20,K36,K62)</f>
        <v>100.00000000000001</v>
      </c>
      <c r="L64" s="54">
        <f>SUM(L20,L36,L62)</f>
        <v>-0.26135608121375897</v>
      </c>
      <c r="M64" s="54">
        <f>SUM(M20,M36,M62)</f>
        <v>-0.28837175150802108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3">
      <c r="A65" s="49"/>
      <c r="B65" s="49"/>
      <c r="C65" s="49"/>
      <c r="D65" s="49"/>
      <c r="E65" s="53"/>
      <c r="F65" s="53"/>
      <c r="G65" s="53"/>
      <c r="H65" s="53"/>
      <c r="I65" s="53"/>
      <c r="J65" s="54"/>
      <c r="K65" s="54"/>
      <c r="L65" s="54"/>
      <c r="M65" s="54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3">
      <c r="A66" s="49"/>
      <c r="B66" s="49"/>
      <c r="C66" s="49"/>
      <c r="D66" s="49"/>
      <c r="E66" s="53"/>
      <c r="F66" s="53"/>
      <c r="G66" s="53"/>
      <c r="H66" s="53"/>
      <c r="I66" s="53"/>
      <c r="J66" s="54"/>
      <c r="K66" s="54"/>
      <c r="L66" s="54"/>
      <c r="M66" s="54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3">
      <c r="A67" s="49"/>
      <c r="B67" s="49"/>
      <c r="C67" s="49"/>
      <c r="D67" s="49"/>
      <c r="E67" s="53"/>
      <c r="F67" s="53"/>
      <c r="G67" s="53"/>
      <c r="H67" s="53"/>
      <c r="I67" s="53"/>
      <c r="J67" s="54"/>
      <c r="K67" s="54"/>
      <c r="L67" s="54"/>
      <c r="M67" s="54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3">
      <c r="A68" s="49"/>
      <c r="B68" s="49"/>
      <c r="C68" s="49"/>
      <c r="D68" s="49"/>
      <c r="E68" s="53"/>
      <c r="F68" s="53"/>
      <c r="G68" s="53"/>
      <c r="H68" s="53"/>
      <c r="I68" s="53"/>
      <c r="J68" s="54"/>
      <c r="K68" s="54"/>
      <c r="L68" s="54"/>
      <c r="M68" s="54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3">
      <c r="A69" s="49"/>
      <c r="B69" s="49"/>
      <c r="C69" s="49"/>
      <c r="D69" s="49"/>
      <c r="E69" s="53"/>
      <c r="F69" s="53"/>
      <c r="G69" s="53"/>
      <c r="H69" s="53"/>
      <c r="I69" s="53"/>
      <c r="J69" s="54"/>
      <c r="K69" s="54"/>
      <c r="L69" s="54"/>
      <c r="M69" s="54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3">
      <c r="A70" s="49"/>
      <c r="B70" s="49"/>
      <c r="C70" s="49"/>
      <c r="D70" s="49"/>
      <c r="E70" s="53"/>
      <c r="F70" s="53"/>
      <c r="G70" s="53"/>
      <c r="H70" s="53"/>
      <c r="I70" s="53"/>
      <c r="J70" s="54"/>
      <c r="K70" s="54"/>
      <c r="L70" s="54"/>
      <c r="M70" s="54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3">
      <c r="A71" s="57"/>
      <c r="B71" s="57"/>
      <c r="C71" s="57"/>
      <c r="D71" s="57"/>
      <c r="E71" s="55"/>
      <c r="F71" s="55"/>
      <c r="G71" s="55"/>
      <c r="H71" s="55"/>
      <c r="I71" s="55"/>
      <c r="J71" s="56"/>
      <c r="K71" s="56"/>
      <c r="L71" s="56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3">
      <c r="A72" s="57"/>
      <c r="B72" s="57"/>
      <c r="C72" s="57"/>
      <c r="D72" s="57"/>
      <c r="E72" s="55"/>
      <c r="F72" s="55"/>
      <c r="G72" s="55"/>
      <c r="H72" s="55"/>
      <c r="I72" s="55"/>
      <c r="J72" s="56"/>
      <c r="K72" s="56"/>
      <c r="L72" s="56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3">
      <c r="A73" s="57"/>
      <c r="B73" s="57"/>
      <c r="C73" s="57"/>
      <c r="D73" s="57"/>
      <c r="E73" s="55"/>
      <c r="F73" s="55"/>
      <c r="G73" s="55"/>
      <c r="H73" s="55"/>
      <c r="I73" s="55"/>
      <c r="J73" s="56"/>
      <c r="K73" s="56"/>
      <c r="L73" s="56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3">
      <c r="A74" s="57"/>
      <c r="B74" s="57"/>
      <c r="C74" s="57"/>
      <c r="D74" s="57"/>
      <c r="E74" s="55"/>
      <c r="F74" s="55"/>
      <c r="G74" s="55"/>
      <c r="H74" s="55"/>
      <c r="I74" s="55"/>
      <c r="J74" s="56"/>
      <c r="K74" s="56"/>
      <c r="L74" s="56"/>
      <c r="M74" s="56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3">
      <c r="A75" s="57"/>
      <c r="B75" s="57"/>
      <c r="C75" s="57"/>
      <c r="D75" s="57"/>
      <c r="E75" s="55"/>
      <c r="F75" s="55"/>
      <c r="G75" s="55"/>
      <c r="H75" s="55"/>
      <c r="I75" s="55"/>
      <c r="J75" s="56"/>
      <c r="K75" s="56"/>
      <c r="L75" s="56"/>
      <c r="M75" s="56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3">
      <c r="A76" s="57"/>
      <c r="B76" s="57"/>
      <c r="C76" s="57"/>
      <c r="D76" s="57"/>
      <c r="E76" s="55"/>
      <c r="F76" s="55"/>
      <c r="G76" s="55"/>
      <c r="H76" s="55"/>
      <c r="I76" s="55"/>
      <c r="J76" s="56"/>
      <c r="K76" s="56"/>
      <c r="L76" s="56"/>
      <c r="M76" s="56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3">
      <c r="A77" s="57"/>
      <c r="B77" s="57"/>
      <c r="C77" s="57"/>
      <c r="D77" s="57"/>
      <c r="E77" s="55"/>
      <c r="F77" s="55"/>
      <c r="G77" s="55"/>
      <c r="H77" s="55"/>
      <c r="I77" s="55"/>
      <c r="J77" s="56"/>
      <c r="K77" s="56"/>
      <c r="L77" s="56"/>
      <c r="M77" s="56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3">
      <c r="A78" s="57"/>
      <c r="B78" s="57"/>
      <c r="C78" s="57"/>
      <c r="D78" s="57"/>
      <c r="E78" s="55"/>
      <c r="F78" s="55"/>
      <c r="G78" s="55"/>
      <c r="H78" s="55"/>
      <c r="I78" s="55"/>
      <c r="J78" s="56"/>
      <c r="K78" s="56"/>
      <c r="L78" s="56"/>
      <c r="M78" s="56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3">
      <c r="A79" s="57"/>
      <c r="B79" s="57"/>
      <c r="C79" s="57"/>
      <c r="D79" s="57"/>
      <c r="E79" s="55"/>
      <c r="F79" s="55"/>
      <c r="G79" s="55"/>
      <c r="H79" s="55"/>
      <c r="I79" s="55"/>
      <c r="J79" s="56"/>
      <c r="K79" s="56"/>
      <c r="L79" s="56"/>
      <c r="M79" s="56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3">
      <c r="A80" s="57"/>
      <c r="B80" s="57"/>
      <c r="C80" s="57"/>
      <c r="D80" s="57"/>
      <c r="E80" s="55"/>
      <c r="F80" s="55"/>
      <c r="G80" s="55"/>
      <c r="H80" s="55"/>
      <c r="I80" s="55"/>
      <c r="J80" s="56"/>
      <c r="K80" s="56"/>
      <c r="L80" s="56"/>
      <c r="M80" s="56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62:I62"/>
    <mergeCell ref="B20:I20"/>
    <mergeCell ref="B21:M21"/>
    <mergeCell ref="B36:I36"/>
    <mergeCell ref="B37:M37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4"/>
  <sheetViews>
    <sheetView view="pageBreakPreview" topLeftCell="A64" zoomScaleNormal="100" zoomScaleSheetLayoutView="100" workbookViewId="0">
      <selection activeCell="E73" sqref="E73"/>
    </sheetView>
  </sheetViews>
  <sheetFormatPr defaultRowHeight="13.2" x14ac:dyDescent="0.3"/>
  <cols>
    <col min="1" max="1" width="26.44140625" style="22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87" t="s">
        <v>121</v>
      </c>
      <c r="B3" s="88"/>
      <c r="C3" s="88"/>
      <c r="D3" s="89"/>
    </row>
    <row r="4" spans="1:4" ht="15.9" customHeight="1" thickBot="1" x14ac:dyDescent="0.35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" customHeight="1" thickBot="1" x14ac:dyDescent="0.35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" customHeight="1" thickBot="1" x14ac:dyDescent="0.35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" customHeight="1" thickBot="1" x14ac:dyDescent="0.35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" customHeight="1" thickBot="1" x14ac:dyDescent="0.35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" customHeight="1" thickBot="1" x14ac:dyDescent="0.35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" customHeight="1" thickBot="1" x14ac:dyDescent="0.35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" customHeight="1" thickBot="1" x14ac:dyDescent="0.35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" customHeight="1" thickBot="1" x14ac:dyDescent="0.35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" customHeight="1" thickBot="1" x14ac:dyDescent="0.35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" customHeight="1" thickBot="1" x14ac:dyDescent="0.35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" customHeight="1" thickBot="1" x14ac:dyDescent="0.35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5">
      <c r="A16" s="87" t="s">
        <v>126</v>
      </c>
      <c r="B16" s="88"/>
      <c r="C16" s="88"/>
      <c r="D16" s="89"/>
    </row>
    <row r="17" spans="1:4" ht="16.649999999999999" customHeight="1" thickBot="1" x14ac:dyDescent="0.35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649999999999999" customHeight="1" thickBot="1" x14ac:dyDescent="0.35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649999999999999" customHeight="1" thickBot="1" x14ac:dyDescent="0.35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649999999999999" customHeight="1" thickBot="1" x14ac:dyDescent="0.35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649999999999999" customHeight="1" thickBot="1" x14ac:dyDescent="0.35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649999999999999" customHeight="1" thickBot="1" x14ac:dyDescent="0.35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649999999999999" customHeight="1" thickBot="1" x14ac:dyDescent="0.35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649999999999999" customHeight="1" thickBot="1" x14ac:dyDescent="0.35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649999999999999" customHeight="1" thickBot="1" x14ac:dyDescent="0.35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649999999999999" customHeight="1" thickBot="1" x14ac:dyDescent="0.35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649999999999999" customHeight="1" thickBot="1" x14ac:dyDescent="0.35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649999999999999" customHeight="1" thickBot="1" x14ac:dyDescent="0.35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649999999999999" customHeight="1" thickBot="1" x14ac:dyDescent="0.35">
      <c r="A29" s="87" t="s">
        <v>127</v>
      </c>
      <c r="B29" s="88"/>
      <c r="C29" s="88"/>
      <c r="D29" s="89"/>
    </row>
    <row r="30" spans="1:4" ht="16.649999999999999" customHeight="1" thickBot="1" x14ac:dyDescent="0.35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649999999999999" customHeight="1" thickBot="1" x14ac:dyDescent="0.35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649999999999999" customHeight="1" thickBot="1" x14ac:dyDescent="0.35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649999999999999" customHeight="1" thickBot="1" x14ac:dyDescent="0.35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649999999999999" customHeight="1" thickBot="1" x14ac:dyDescent="0.35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649999999999999" customHeight="1" thickBot="1" x14ac:dyDescent="0.35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649999999999999" customHeight="1" thickBot="1" x14ac:dyDescent="0.35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649999999999999" customHeight="1" thickBot="1" x14ac:dyDescent="0.35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5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5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5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5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5">
      <c r="A42" s="87" t="s">
        <v>131</v>
      </c>
      <c r="B42" s="88"/>
      <c r="C42" s="88"/>
      <c r="D42" s="89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8" thickBot="1" x14ac:dyDescent="0.35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8" thickBot="1" x14ac:dyDescent="0.35">
      <c r="A52" s="29" t="s">
        <v>102</v>
      </c>
      <c r="B52" s="32">
        <v>303.58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ht="20.399999999999999" customHeight="1" thickBot="1" x14ac:dyDescent="0.35">
      <c r="A53" s="83" t="s">
        <v>105</v>
      </c>
      <c r="B53" s="83"/>
      <c r="C53" s="83"/>
      <c r="D53" s="83"/>
    </row>
    <row r="54" spans="1:1021 1025:2045 2049:3069 3073:4093 4097:5117 5121:6141 6145:7165 7169:8189 8193:9213 9217:10237 10241:11261 11265:12285 12289:13309 13313:14333 14337:15357 15361:16349" ht="43.2" customHeight="1" thickBot="1" x14ac:dyDescent="0.35">
      <c r="A54" s="6" t="s">
        <v>90</v>
      </c>
      <c r="B54" s="7" t="s">
        <v>115</v>
      </c>
      <c r="C54" s="7" t="s">
        <v>106</v>
      </c>
      <c r="D54" s="7" t="s">
        <v>107</v>
      </c>
    </row>
    <row r="55" spans="1:1021 1025:2045 2049:3069 3073:4093 4097:5117 5121:6141 6145:7165 7169:8189 8193:9213 9217:10237 10241:11261 11265:12285 12289:13309 13313:14333 14337:15357 15361:16349" ht="15.9" customHeight="1" thickBot="1" x14ac:dyDescent="0.35">
      <c r="A55" s="84" t="s">
        <v>121</v>
      </c>
      <c r="B55" s="85"/>
      <c r="C55" s="85"/>
      <c r="D55" s="86"/>
    </row>
    <row r="56" spans="1:1021 1025:2045 2049:3069 3073:4093 4097:5117 5121:6141 6145:7165 7169:8189 8193:9213 9217:10237 10241:11261 11265:12285 12289:13309 13313:14333 14337:15357 15361:16349" ht="15.9" customHeight="1" thickBot="1" x14ac:dyDescent="0.35">
      <c r="A56" s="8" t="s">
        <v>108</v>
      </c>
      <c r="B56" s="9">
        <v>164.49</v>
      </c>
      <c r="C56" s="9">
        <v>3.1716495923060961</v>
      </c>
      <c r="D56" s="9">
        <v>16.244611434359626</v>
      </c>
    </row>
    <row r="57" spans="1:1021 1025:2045 2049:3069 3073:4093 4097:5117 5121:6141 6145:7165 7169:8189 8193:9213 9217:10237 10241:11261 11265:12285 12289:13309 13313:14333 14337:15357 15361:16349" ht="15.9" customHeight="1" thickBot="1" x14ac:dyDescent="0.35">
      <c r="A57" s="8" t="s">
        <v>109</v>
      </c>
      <c r="B57" s="9">
        <v>175.27</v>
      </c>
      <c r="C57" s="9">
        <v>6.5535898838835323</v>
      </c>
      <c r="D57" s="9">
        <v>18.05078467030377</v>
      </c>
    </row>
    <row r="58" spans="1:1021 1025:2045 2049:3069 3073:4093 4097:5117 5121:6141 6145:7165 7169:8189 8193:9213 9217:10237 10241:11261 11265:12285 12289:13309 13313:14333 14337:15357 15361:16349" ht="15.9" customHeight="1" thickBot="1" x14ac:dyDescent="0.35">
      <c r="A58" s="8" t="s">
        <v>120</v>
      </c>
      <c r="B58" s="10">
        <v>177.28</v>
      </c>
      <c r="C58" s="10">
        <v>1.146802076795808</v>
      </c>
      <c r="D58" s="10">
        <v>17.427303437769098</v>
      </c>
    </row>
    <row r="59" spans="1:1021 1025:2045 2049:3069 3073:4093 4097:5117 5121:6141 6145:7165 7169:8189 8193:9213 9217:10237 10241:11261 11265:12285 12289:13309 13313:14333 14337:15357 15361:16349" ht="13.8" thickBot="1" x14ac:dyDescent="0.35">
      <c r="A59" s="6" t="s">
        <v>125</v>
      </c>
      <c r="B59" s="10">
        <v>185.97</v>
      </c>
      <c r="C59" s="10">
        <v>4.90185018050542</v>
      </c>
      <c r="D59" s="10">
        <v>16.644365461007737</v>
      </c>
    </row>
    <row r="60" spans="1:1021 1025:2045 2049:3069 3073:4093 4097:5117 5121:6141 6145:7165 7169:8189 8193:9213 9217:10237 10241:11261 11265:12285 12289:13309 13313:14333 14337:15357 15361:16349" ht="13.8" thickBot="1" x14ac:dyDescent="0.35">
      <c r="A60" s="84" t="s">
        <v>126</v>
      </c>
      <c r="B60" s="85"/>
      <c r="C60" s="85"/>
      <c r="D60" s="86"/>
    </row>
    <row r="61" spans="1:1021 1025:2045 2049:3069 3073:4093 4097:5117 5121:6141 6145:7165 7169:8189 8193:9213 9217:10237 10241:11261 11265:12285 12289:13309 13313:14333 14337:15357 15361:16349" ht="13.8" thickBot="1" x14ac:dyDescent="0.35">
      <c r="A61" s="8" t="s">
        <v>108</v>
      </c>
      <c r="B61" s="9">
        <v>214.22</v>
      </c>
      <c r="C61" s="9">
        <v>15.19062214335645</v>
      </c>
      <c r="D61" s="9">
        <v>30.232840902182488</v>
      </c>
    </row>
    <row r="62" spans="1:1021 1025:2045 2049:3069 3073:4093 4097:5117 5121:6141 6145:7165 7169:8189 8193:9213 9217:10237 10241:11261 11265:12285 12289:13309 13313:14333 14337:15357 15361:16349" ht="13.8" thickBot="1" x14ac:dyDescent="0.35">
      <c r="A62" s="8" t="s">
        <v>109</v>
      </c>
      <c r="B62" s="9">
        <v>221.39</v>
      </c>
      <c r="C62" s="9">
        <v>3.3470264214358991</v>
      </c>
      <c r="D62" s="9">
        <v>26.313687453642927</v>
      </c>
    </row>
    <row r="63" spans="1:1021 1025:2045 2049:3069 3073:4093 4097:5117 5121:6141 6145:7165 7169:8189 8193:9213 9217:10237 10241:11261 11265:12285 12289:13309 13313:14333 14337:15357 15361:16349" ht="14.25" customHeight="1" thickBot="1" x14ac:dyDescent="0.35">
      <c r="A63" s="8" t="s">
        <v>120</v>
      </c>
      <c r="B63" s="9">
        <v>239.15</v>
      </c>
      <c r="C63" s="9">
        <v>8.0220425493473044</v>
      </c>
      <c r="D63" s="9">
        <v>34.899593862815891</v>
      </c>
    </row>
    <row r="64" spans="1:1021 1025:2045 2049:3069 3073:4093 4097:5117 5121:6141 6145:7165 7169:8189 8193:9213 9217:10237 10241:11261 11265:12285 12289:13309 13313:14333 14337:15357 15361:16349" ht="15" customHeight="1" thickBot="1" x14ac:dyDescent="0.35">
      <c r="A64" s="6" t="s">
        <v>125</v>
      </c>
      <c r="B64" s="10">
        <v>260.18</v>
      </c>
      <c r="C64" s="10">
        <v>8.7936441563872165</v>
      </c>
      <c r="D64" s="10">
        <v>39.904285637468405</v>
      </c>
    </row>
    <row r="65" spans="1:7" ht="15" customHeight="1" thickBot="1" x14ac:dyDescent="0.35">
      <c r="A65" s="87" t="s">
        <v>127</v>
      </c>
      <c r="B65" s="88"/>
      <c r="C65" s="88"/>
      <c r="D65" s="89"/>
      <c r="E65" s="33"/>
      <c r="F65" s="33"/>
      <c r="G65" s="33"/>
    </row>
    <row r="66" spans="1:7" ht="15" customHeight="1" thickBot="1" x14ac:dyDescent="0.35">
      <c r="A66" s="8" t="s">
        <v>108</v>
      </c>
      <c r="B66" s="10">
        <v>277.94</v>
      </c>
      <c r="C66" s="10">
        <v>6.8260435083403763</v>
      </c>
      <c r="D66" s="10">
        <v>29.745121837363456</v>
      </c>
    </row>
    <row r="67" spans="1:7" ht="15" customHeight="1" thickBot="1" x14ac:dyDescent="0.35">
      <c r="A67" s="8" t="s">
        <v>128</v>
      </c>
      <c r="B67" s="10">
        <v>295.24666666666667</v>
      </c>
      <c r="C67" s="10">
        <v>6.2267635700750787</v>
      </c>
      <c r="D67" s="10">
        <v>33.360434828432489</v>
      </c>
    </row>
    <row r="68" spans="1:7" ht="13.5" customHeight="1" thickBot="1" x14ac:dyDescent="0.35">
      <c r="A68" s="29" t="s">
        <v>129</v>
      </c>
      <c r="B68" s="30">
        <v>312.48</v>
      </c>
      <c r="C68" s="30">
        <v>5.8369273150134404</v>
      </c>
      <c r="D68" s="30">
        <v>30.662763955676354</v>
      </c>
      <c r="E68" s="33"/>
      <c r="F68" s="33"/>
      <c r="G68" s="33"/>
    </row>
    <row r="69" spans="1:7" ht="13.5" customHeight="1" thickBot="1" x14ac:dyDescent="0.35">
      <c r="A69" s="31" t="s">
        <v>130</v>
      </c>
      <c r="B69" s="30">
        <v>306.61666666666667</v>
      </c>
      <c r="C69" s="30">
        <v>-1.8763867554190199</v>
      </c>
      <c r="D69" s="30">
        <v>17.847900171676017</v>
      </c>
    </row>
    <row r="70" spans="1:7" ht="13.5" customHeight="1" thickBot="1" x14ac:dyDescent="0.35">
      <c r="A70" s="87" t="s">
        <v>131</v>
      </c>
      <c r="B70" s="88"/>
      <c r="C70" s="88"/>
      <c r="D70" s="89"/>
    </row>
    <row r="71" spans="1:7" ht="13.5" customHeight="1" thickBot="1" x14ac:dyDescent="0.35">
      <c r="A71" s="38" t="s">
        <v>108</v>
      </c>
      <c r="B71" s="34">
        <f>AVERAGE(B43:B45)</f>
        <v>310.92666666666668</v>
      </c>
      <c r="C71" s="35">
        <f>B71/B69*100-100</f>
        <v>1.4056639669511384</v>
      </c>
      <c r="D71" s="35">
        <f>B71/B66*100-100</f>
        <v>11.868268930944325</v>
      </c>
    </row>
    <row r="72" spans="1:7" ht="15" customHeight="1" thickBot="1" x14ac:dyDescent="0.35">
      <c r="A72" s="8" t="s">
        <v>128</v>
      </c>
      <c r="B72" s="39">
        <f>AVERAGE(B46:B48)</f>
        <v>315.93666666666667</v>
      </c>
      <c r="C72" s="40">
        <f>B72/B71*100-100</f>
        <v>1.6113124209352634</v>
      </c>
      <c r="D72" s="41">
        <f>B72/B67*100-100</f>
        <v>7.0076997764580966</v>
      </c>
    </row>
    <row r="73" spans="1:7" ht="13.8" thickBot="1" x14ac:dyDescent="0.35">
      <c r="A73" s="8" t="s">
        <v>129</v>
      </c>
      <c r="B73" s="39">
        <f>AVERAGE(B49:B51)</f>
        <v>310.56</v>
      </c>
      <c r="C73" s="40">
        <f>B73/B72*100-100</f>
        <v>-1.701817874890537</v>
      </c>
      <c r="D73" s="41">
        <f>B73/B68*100-100</f>
        <v>-0.61443932411674496</v>
      </c>
      <c r="F73" s="37"/>
      <c r="G73" s="37"/>
    </row>
    <row r="74" spans="1:7" ht="12.75" customHeight="1" thickBot="1" x14ac:dyDescent="0.35">
      <c r="A74" s="36" t="s">
        <v>110</v>
      </c>
      <c r="B74" s="36"/>
      <c r="C74" s="36"/>
      <c r="D74" s="36"/>
    </row>
    <row r="75" spans="1:7" ht="42" customHeight="1" thickBot="1" x14ac:dyDescent="0.35">
      <c r="A75" s="11" t="s">
        <v>90</v>
      </c>
      <c r="B75" s="12" t="s">
        <v>115</v>
      </c>
      <c r="C75" s="12" t="s">
        <v>111</v>
      </c>
      <c r="D75" s="13" t="s">
        <v>112</v>
      </c>
    </row>
    <row r="76" spans="1:7" ht="15.9" customHeight="1" thickBot="1" x14ac:dyDescent="0.35">
      <c r="A76" s="84" t="s">
        <v>126</v>
      </c>
      <c r="B76" s="85"/>
      <c r="C76" s="85"/>
      <c r="D76" s="86"/>
    </row>
    <row r="77" spans="1:7" ht="17.25" customHeight="1" thickBot="1" x14ac:dyDescent="0.35">
      <c r="A77" s="18" t="s">
        <v>113</v>
      </c>
      <c r="B77" s="19">
        <v>217.81</v>
      </c>
      <c r="C77" s="20">
        <v>19.926219579341492</v>
      </c>
      <c r="D77" s="20">
        <v>28.214033435366161</v>
      </c>
    </row>
    <row r="78" spans="1:7" ht="14.25" customHeight="1" thickBot="1" x14ac:dyDescent="0.35">
      <c r="A78" s="15" t="s">
        <v>114</v>
      </c>
      <c r="B78" s="16">
        <v>249.67</v>
      </c>
      <c r="C78" s="17">
        <v>14.62742757449152</v>
      </c>
      <c r="D78" s="17">
        <v>37.468340491135308</v>
      </c>
      <c r="F78" s="33"/>
    </row>
    <row r="79" spans="1:7" ht="20.25" customHeight="1" thickBot="1" x14ac:dyDescent="0.35">
      <c r="A79" s="84" t="s">
        <v>127</v>
      </c>
      <c r="B79" s="85"/>
      <c r="C79" s="85"/>
      <c r="D79" s="86"/>
    </row>
    <row r="80" spans="1:7" ht="15" customHeight="1" thickBot="1" x14ac:dyDescent="0.35">
      <c r="A80" s="18" t="s">
        <v>113</v>
      </c>
      <c r="B80" s="25">
        <v>286.59499999999997</v>
      </c>
      <c r="C80" s="17">
        <v>14.789522169263421</v>
      </c>
      <c r="D80" s="17">
        <v>31.580276387677316</v>
      </c>
    </row>
    <row r="81" spans="1:4" ht="11.25" customHeight="1" thickBot="1" x14ac:dyDescent="0.35">
      <c r="A81" s="18" t="s">
        <v>114</v>
      </c>
      <c r="B81" s="25">
        <v>309.54666666666662</v>
      </c>
      <c r="C81" s="25">
        <v>8.0083974481992612</v>
      </c>
      <c r="D81" s="25">
        <v>23.982323333466837</v>
      </c>
    </row>
    <row r="82" spans="1:4" ht="16.5" customHeight="1" thickBot="1" x14ac:dyDescent="0.35">
      <c r="A82" s="84" t="s">
        <v>131</v>
      </c>
      <c r="B82" s="85"/>
      <c r="C82" s="85"/>
      <c r="D82" s="86"/>
    </row>
    <row r="83" spans="1:4" ht="13.8" thickBot="1" x14ac:dyDescent="0.35">
      <c r="A83" s="18" t="s">
        <v>113</v>
      </c>
      <c r="B83" s="25">
        <f>AVERAGE(B43:B48)</f>
        <v>313.43166666666667</v>
      </c>
      <c r="C83" s="17">
        <f>B83/B81*100-100</f>
        <v>1.2550611647140073</v>
      </c>
      <c r="D83" s="17">
        <f>B83/B80*100-100</f>
        <v>9.3639688992015522</v>
      </c>
    </row>
    <row r="84" spans="1:4" ht="15.6" x14ac:dyDescent="0.3">
      <c r="A84" s="14"/>
      <c r="B84" s="4"/>
      <c r="C84" s="82" t="s">
        <v>122</v>
      </c>
      <c r="D84" s="82"/>
    </row>
    <row r="85" spans="1:4" ht="17.399999999999999" x14ac:dyDescent="0.3">
      <c r="A85" s="21"/>
      <c r="B85" s="21"/>
      <c r="C85" s="82" t="s">
        <v>1</v>
      </c>
      <c r="D85" s="82"/>
    </row>
    <row r="86" spans="1:4" ht="15.6" x14ac:dyDescent="0.3">
      <c r="A86" s="42" t="s">
        <v>155</v>
      </c>
      <c r="B86" s="4"/>
      <c r="C86" s="82" t="s">
        <v>141</v>
      </c>
      <c r="D86" s="82"/>
    </row>
    <row r="90" spans="1:4" x14ac:dyDescent="0.3">
      <c r="A90" s="24"/>
    </row>
    <row r="94" spans="1:4" s="23" customFormat="1" ht="14.4" x14ac:dyDescent="0.3">
      <c r="A94" s="22"/>
      <c r="B94" s="1"/>
      <c r="C94" s="1"/>
      <c r="D94" s="1"/>
    </row>
  </sheetData>
  <mergeCells count="15">
    <mergeCell ref="A3:D3"/>
    <mergeCell ref="A16:D16"/>
    <mergeCell ref="C84:D84"/>
    <mergeCell ref="C85:D85"/>
    <mergeCell ref="A29:D29"/>
    <mergeCell ref="A42:D42"/>
    <mergeCell ref="A70:D70"/>
    <mergeCell ref="C86:D86"/>
    <mergeCell ref="A53:D53"/>
    <mergeCell ref="A76:D76"/>
    <mergeCell ref="A60:D60"/>
    <mergeCell ref="A79:D79"/>
    <mergeCell ref="A55:D55"/>
    <mergeCell ref="A65:D65"/>
    <mergeCell ref="A82:D82"/>
  </mergeCells>
  <printOptions horizontalCentered="1"/>
  <pageMargins left="0.25" right="0.25" top="0.75" bottom="0.75" header="0.3" footer="0.3"/>
  <pageSetup paperSize="9" scale="50" orientation="portrait" r:id="rId1"/>
  <ignoredErrors>
    <ignoredError sqref="B71:B73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SO CPI</cp:lastModifiedBy>
  <cp:lastPrinted>2025-04-16T20:29:06Z</cp:lastPrinted>
  <dcterms:created xsi:type="dcterms:W3CDTF">2019-08-26T06:34:44Z</dcterms:created>
  <dcterms:modified xsi:type="dcterms:W3CDTF">2025-05-23T09:44:19Z</dcterms:modified>
</cp:coreProperties>
</file>